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36" yWindow="672" windowWidth="9600" windowHeight="11640" tabRatio="398" firstSheet="1" activeTab="1"/>
  </bookViews>
  <sheets>
    <sheet name="Deposit Calc" sheetId="1" state="hidden" r:id="rId1"/>
    <sheet name="Headline" sheetId="2" r:id="rId2"/>
    <sheet name="check share levels" sheetId="3" r:id="rId3"/>
    <sheet name="Guidance" sheetId="4" r:id="rId4"/>
  </sheets>
  <externalReferences>
    <externalReference r:id="rId7"/>
  </externalReferences>
  <definedNames>
    <definedName name="Headers">#REF!</definedName>
    <definedName name="if">#REF!</definedName>
    <definedName name="IFA_addresses">#REF!</definedName>
    <definedName name="IFAs">#REF!</definedName>
    <definedName name="_xlnm.Print_Area" localSheetId="1">'Headline'!$A$1:$Q$43</definedName>
    <definedName name="te">#REF!</definedName>
    <definedName name="ValidIFAs">'[1]Sheet1'!$A$3:$A$6</definedName>
    <definedName name="ValidSwayofficer">'[1]Sheet1'!$B$3:$B$6</definedName>
    <definedName name="yu">#REF!</definedName>
  </definedNames>
  <calcPr fullCalcOnLoad="1"/>
</workbook>
</file>

<file path=xl/sharedStrings.xml><?xml version="1.0" encoding="utf-8"?>
<sst xmlns="http://schemas.openxmlformats.org/spreadsheetml/2006/main" count="127" uniqueCount="114">
  <si>
    <t>Forename</t>
  </si>
  <si>
    <t>Surname</t>
  </si>
  <si>
    <t>Age Next</t>
  </si>
  <si>
    <t>Mortgage interest rate:</t>
  </si>
  <si>
    <t>Overtime, Bonuses &amp; Commissions:</t>
  </si>
  <si>
    <t>Working tax credits</t>
  </si>
  <si>
    <t>Child tax credits</t>
  </si>
  <si>
    <t>Child benefit</t>
  </si>
  <si>
    <t>Disability allowance</t>
  </si>
  <si>
    <t>Guaranteed maintenance income</t>
  </si>
  <si>
    <t>Other income</t>
  </si>
  <si>
    <t>DoB</t>
  </si>
  <si>
    <t>Mortgage term</t>
  </si>
  <si>
    <t>Income multiple</t>
  </si>
  <si>
    <t>Debt to household income ratio</t>
  </si>
  <si>
    <t>higher age</t>
  </si>
  <si>
    <t>max mtge term</t>
  </si>
  <si>
    <t xml:space="preserve">Complete all grey boxes. </t>
  </si>
  <si>
    <t>Applicant details</t>
  </si>
  <si>
    <t>On opening the spreadsheet, ensure that you click "enable macros"</t>
  </si>
  <si>
    <t>Benefits and outgoings (monthly). Only those commonly acceptable to lenders will be used in calculations</t>
  </si>
  <si>
    <t>Deposit available and mortgage term required (should not go beyond normal retirement age)</t>
  </si>
  <si>
    <t>Client % Purchased</t>
  </si>
  <si>
    <t>Mortgage amount</t>
  </si>
  <si>
    <t>Sufficient deposit for lender?</t>
  </si>
  <si>
    <t>Mortgage (pcm)</t>
  </si>
  <si>
    <t>Monthly rent (pcm)</t>
  </si>
  <si>
    <t>Service charge (pcm)</t>
  </si>
  <si>
    <t>Total monthly cost (pcm)</t>
  </si>
  <si>
    <t xml:space="preserve">Address of subject property, number of bedrooms and full market value </t>
  </si>
  <si>
    <t>Rent on unsold equity %</t>
  </si>
  <si>
    <t>Annual service charge £</t>
  </si>
  <si>
    <t>Hidden calculations</t>
  </si>
  <si>
    <t>Salary (annual, gross)</t>
  </si>
  <si>
    <t>Rent on unsold equity (%) and service charge (annual)</t>
  </si>
  <si>
    <t>Total monthly loan/HP payments:</t>
  </si>
  <si>
    <t>Total outstanding credit card balances:</t>
  </si>
  <si>
    <t>APPLICANT</t>
  </si>
  <si>
    <t>DEBT</t>
  </si>
  <si>
    <t>MORTGAGE AND DEPOSIT</t>
  </si>
  <si>
    <t>Additional household Income (monthly):</t>
  </si>
  <si>
    <t>Address:</t>
  </si>
  <si>
    <t>Home:</t>
  </si>
  <si>
    <t>Mobile:</t>
  </si>
  <si>
    <t>Total value</t>
  </si>
  <si>
    <t>Customer Deposit/ Equity</t>
  </si>
  <si>
    <t>inc multiple used</t>
  </si>
  <si>
    <t>Share value</t>
  </si>
  <si>
    <t>App 1 basic employment income(annual, gross):</t>
  </si>
  <si>
    <t>App 2 basic employment income(annual, gross):</t>
  </si>
  <si>
    <t>age 1</t>
  </si>
  <si>
    <t>age 2</t>
  </si>
  <si>
    <t>debt outgoings</t>
  </si>
  <si>
    <t>add household income</t>
  </si>
  <si>
    <t>Number of children</t>
  </si>
  <si>
    <t>Proposed purchase property:</t>
  </si>
  <si>
    <t>Full market value</t>
  </si>
  <si>
    <t>Number of bedrooms</t>
  </si>
  <si>
    <t>Applicants' deposit</t>
  </si>
  <si>
    <t>Total share to purchase</t>
  </si>
  <si>
    <t>Customer Deposit</t>
  </si>
  <si>
    <t>YES</t>
  </si>
  <si>
    <t>deposit</t>
  </si>
  <si>
    <t>inc mult</t>
  </si>
  <si>
    <t>debt</t>
  </si>
  <si>
    <t>all</t>
  </si>
  <si>
    <t>max share</t>
  </si>
  <si>
    <t>NO</t>
  </si>
  <si>
    <t>Shared Ownership purchase affordability assessment</t>
  </si>
  <si>
    <t>Complete all grey boxes</t>
  </si>
  <si>
    <t>INCOME</t>
  </si>
  <si>
    <t>PROPERTY</t>
  </si>
  <si>
    <t>Bonus, commission, overtime etc (enter full amount, half will be used in calculations in line with most lender policies)</t>
  </si>
  <si>
    <t>Click on the button for the maximum share affordability calculation</t>
  </si>
  <si>
    <t>Debt: total housing costs (mortgage, rent and service charge)</t>
  </si>
  <si>
    <t>Click "check share purchase levels" to view all share levels and check figures if required</t>
  </si>
  <si>
    <t>Click "print report" to print out the calculator for file purposes</t>
  </si>
  <si>
    <t>Shared Ownership Purchase Affordability Calculator - Guidance for completion</t>
  </si>
  <si>
    <t>The calculator uses a debt to income ration of 45% as per guidance in the AHCFG. This is calculated as follows:</t>
  </si>
  <si>
    <t>Click "reset form" to reset all fields to zero/default levels</t>
  </si>
  <si>
    <t>PML</t>
  </si>
  <si>
    <t>Total Contribution</t>
  </si>
  <si>
    <t>Actual Purchase Price</t>
  </si>
  <si>
    <t>Max PML</t>
  </si>
  <si>
    <t>Deposit</t>
  </si>
  <si>
    <t>15% Deposit</t>
  </si>
  <si>
    <t>Max Contribution (75%)</t>
  </si>
  <si>
    <t>Min Contribution (25%)</t>
  </si>
  <si>
    <t>Min PML</t>
  </si>
  <si>
    <r>
      <t xml:space="preserve">This will assess the maximum share that the applicant can afford, and will take into account </t>
    </r>
    <r>
      <rPr>
        <b/>
        <sz val="10"/>
        <rFont val="Arial"/>
        <family val="2"/>
      </rPr>
      <t>deposit availability</t>
    </r>
    <r>
      <rPr>
        <sz val="10"/>
        <rFont val="Arial"/>
        <family val="2"/>
      </rPr>
      <t>, suitability of</t>
    </r>
    <r>
      <rPr>
        <b/>
        <sz val="10"/>
        <rFont val="Arial"/>
        <family val="2"/>
      </rPr>
      <t xml:space="preserve"> income multiple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debt to income ratio</t>
    </r>
  </si>
  <si>
    <t>Income: household income after tax and less current debt outgoings (tax has been based on 26%)</t>
  </si>
  <si>
    <t>Net mortgageable income (after debts):</t>
  </si>
  <si>
    <t>all (ignore deposit)</t>
  </si>
  <si>
    <t>Monthly payments  to household income ratio</t>
  </si>
  <si>
    <t>Income multiple required (HCA guidance is 2.5-4x)</t>
  </si>
  <si>
    <t xml:space="preserve">Enter current lender deposit requirements if known </t>
  </si>
  <si>
    <t xml:space="preserve">tax amount can be altered if the applicant pay more or less </t>
  </si>
  <si>
    <t xml:space="preserve">Current rate availability (this should reflect real life availability for this applicant) if not available keep the average inserted by the HCA </t>
  </si>
  <si>
    <t>Gross annual household income (from employment):</t>
  </si>
  <si>
    <t>tax</t>
  </si>
  <si>
    <t>upper tax</t>
  </si>
  <si>
    <t>tax free</t>
  </si>
  <si>
    <t>lower tax</t>
  </si>
  <si>
    <t>NI</t>
  </si>
  <si>
    <t>NI free</t>
  </si>
  <si>
    <t>Upper NI rate</t>
  </si>
  <si>
    <t>Net annual household income (from employment):</t>
  </si>
  <si>
    <t>Total additional annual income (from other sources)</t>
  </si>
  <si>
    <t>TOTAL NET ANNUAL INCOME (from all sources)</t>
  </si>
  <si>
    <t>Maximum mortgage available:</t>
  </si>
  <si>
    <t>Maximum income multiple used:</t>
  </si>
  <si>
    <t xml:space="preserve">Total maximum contribution available: </t>
  </si>
  <si>
    <t>Other gross salary MONTHLY deductions (childcare vouchers, pension etc.)</t>
  </si>
  <si>
    <t xml:space="preserve">Student loan MONTHLY payment 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</si>
</sst>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£&quot;#,##0.00"/>
    <numFmt numFmtId="166" formatCode="dd/mm/yyyy;@"/>
    <numFmt numFmtId="167" formatCode="#,##0_ ;[Red]\-#,##0\ "/>
    <numFmt numFmtId="168" formatCode="_-[$£-809]* #,##0.00_-;\-[$£-809]* #,##0.00_-;_-[$£-809]* &quot;-&quot;??_-;_-@_-"/>
    <numFmt numFmtId="169" formatCode="_-[$£-809]* #,##0.0_-;\-[$£-809]* #,##0.0_-;_-[$£-809]* &quot;-&quot;??_-;_-@_-"/>
    <numFmt numFmtId="170" formatCode="_-[$£-809]* #,##0_-;\-[$£-809]* #,##0_-;_-[$£-809]* &quot;-&quot;??_-;_-@_-"/>
    <numFmt numFmtId="171" formatCode="[$-809]dd\ mmmm\ yyyy"/>
  </numFmts>
  <fonts count="55">
    <font>
      <sz val="10"/>
      <name val="Arial"/>
      <family val="0"/>
    </font>
    <font>
      <sz val="10"/>
      <color indexed="63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7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color indexed="8"/>
      <name val="Arial"/>
      <family val="2"/>
    </font>
    <font>
      <b/>
      <u val="single"/>
      <sz val="11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u val="single"/>
      <sz val="12"/>
      <color indexed="21"/>
      <name val="Arial"/>
      <family val="2"/>
    </font>
    <font>
      <sz val="10"/>
      <color indexed="21"/>
      <name val="Arial"/>
      <family val="2"/>
    </font>
    <font>
      <b/>
      <sz val="10"/>
      <color indexed="10"/>
      <name val="Arial"/>
      <family val="2"/>
    </font>
    <font>
      <b/>
      <sz val="14"/>
      <color indexed="9"/>
      <name val="Arial"/>
      <family val="0"/>
    </font>
    <font>
      <b/>
      <sz val="18"/>
      <color indexed="9"/>
      <name val="Arial"/>
      <family val="0"/>
    </font>
    <font>
      <b/>
      <sz val="20"/>
      <color indexed="9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u val="single"/>
      <sz val="12"/>
      <color rgb="FF009999"/>
      <name val="Arial"/>
      <family val="2"/>
    </font>
    <font>
      <sz val="10"/>
      <color rgb="FF009999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0" tint="-0.2499700039625167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5" fillId="0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5" fillId="34" borderId="12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8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2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 vertical="center" wrapText="1"/>
    </xf>
    <xf numFmtId="164" fontId="0" fillId="0" borderId="17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164" fontId="0" fillId="0" borderId="17" xfId="0" applyNumberFormat="1" applyFont="1" applyFill="1" applyBorder="1" applyAlignment="1" applyProtection="1">
      <alignment horizontal="center"/>
      <protection/>
    </xf>
    <xf numFmtId="9" fontId="0" fillId="0" borderId="18" xfId="0" applyNumberFormat="1" applyFont="1" applyFill="1" applyBorder="1" applyAlignment="1" applyProtection="1">
      <alignment horizontal="center"/>
      <protection/>
    </xf>
    <xf numFmtId="2" fontId="0" fillId="0" borderId="17" xfId="0" applyNumberFormat="1" applyFont="1" applyBorder="1" applyAlignment="1">
      <alignment horizontal="center"/>
    </xf>
    <xf numFmtId="0" fontId="5" fillId="0" borderId="19" xfId="0" applyFont="1" applyFill="1" applyBorder="1" applyAlignment="1" applyProtection="1">
      <alignment horizontal="left" vertical="center" wrapText="1" shrinkToFit="1"/>
      <protection/>
    </xf>
    <xf numFmtId="166" fontId="5" fillId="35" borderId="19" xfId="0" applyNumberFormat="1" applyFont="1" applyFill="1" applyBorder="1" applyAlignment="1" applyProtection="1">
      <alignment horizontal="left" vertical="center" shrinkToFit="1"/>
      <protection locked="0"/>
    </xf>
    <xf numFmtId="166" fontId="5" fillId="35" borderId="20" xfId="0" applyNumberFormat="1" applyFont="1" applyFill="1" applyBorder="1" applyAlignment="1" applyProtection="1">
      <alignment horizontal="left" vertical="center"/>
      <protection locked="0"/>
    </xf>
    <xf numFmtId="0" fontId="5" fillId="0" borderId="19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right" vertical="center" wrapText="1" shrinkToFit="1"/>
      <protection/>
    </xf>
    <xf numFmtId="164" fontId="5" fillId="35" borderId="19" xfId="0" applyNumberFormat="1" applyFont="1" applyFill="1" applyBorder="1" applyAlignment="1" applyProtection="1">
      <alignment horizontal="right" vertical="center"/>
      <protection locked="0"/>
    </xf>
    <xf numFmtId="6" fontId="5" fillId="35" borderId="19" xfId="0" applyNumberFormat="1" applyFont="1" applyFill="1" applyBorder="1" applyAlignment="1" applyProtection="1">
      <alignment horizontal="right" vertical="center"/>
      <protection locked="0"/>
    </xf>
    <xf numFmtId="164" fontId="5" fillId="0" borderId="0" xfId="0" applyNumberFormat="1" applyFont="1" applyFill="1" applyBorder="1" applyAlignment="1" applyProtection="1">
      <alignment horizontal="right" vertical="center"/>
      <protection/>
    </xf>
    <xf numFmtId="6" fontId="5" fillId="0" borderId="19" xfId="0" applyNumberFormat="1" applyFont="1" applyFill="1" applyBorder="1" applyAlignment="1" applyProtection="1">
      <alignment horizontal="right" vertical="center"/>
      <protection/>
    </xf>
    <xf numFmtId="0" fontId="5" fillId="35" borderId="21" xfId="0" applyFont="1" applyFill="1" applyBorder="1" applyAlignment="1" applyProtection="1">
      <alignment horizontal="right" vertical="center"/>
      <protection locked="0"/>
    </xf>
    <xf numFmtId="167" fontId="5" fillId="35" borderId="21" xfId="0" applyNumberFormat="1" applyFont="1" applyFill="1" applyBorder="1" applyAlignment="1" applyProtection="1">
      <alignment horizontal="right" vertical="center"/>
      <protection locked="0"/>
    </xf>
    <xf numFmtId="10" fontId="5" fillId="35" borderId="19" xfId="0" applyNumberFormat="1" applyFont="1" applyFill="1" applyBorder="1" applyAlignment="1" applyProtection="1">
      <alignment horizontal="right" vertical="center"/>
      <protection locked="0"/>
    </xf>
    <xf numFmtId="164" fontId="5" fillId="0" borderId="22" xfId="0" applyNumberFormat="1" applyFont="1" applyFill="1" applyBorder="1" applyAlignment="1">
      <alignment horizontal="center" vertical="center"/>
    </xf>
    <xf numFmtId="2" fontId="5" fillId="0" borderId="22" xfId="0" applyNumberFormat="1" applyFont="1" applyFill="1" applyBorder="1" applyAlignment="1">
      <alignment horizontal="center" vertical="center"/>
    </xf>
    <xf numFmtId="164" fontId="5" fillId="0" borderId="22" xfId="0" applyNumberFormat="1" applyFont="1" applyFill="1" applyBorder="1" applyAlignment="1" applyProtection="1">
      <alignment horizontal="center" vertical="center"/>
      <protection/>
    </xf>
    <xf numFmtId="3" fontId="5" fillId="0" borderId="23" xfId="0" applyNumberFormat="1" applyFont="1" applyFill="1" applyBorder="1" applyAlignment="1" applyProtection="1">
      <alignment horizontal="center" vertical="center"/>
      <protection/>
    </xf>
    <xf numFmtId="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17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 wrapText="1"/>
    </xf>
    <xf numFmtId="1" fontId="5" fillId="0" borderId="19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Alignment="1">
      <alignment/>
    </xf>
    <xf numFmtId="164" fontId="5" fillId="35" borderId="24" xfId="0" applyNumberFormat="1" applyFont="1" applyFill="1" applyBorder="1" applyAlignment="1" applyProtection="1">
      <alignment horizontal="right" vertical="center" wrapText="1" shrinkToFit="1"/>
      <protection locked="0"/>
    </xf>
    <xf numFmtId="3" fontId="5" fillId="35" borderId="19" xfId="0" applyNumberFormat="1" applyFont="1" applyFill="1" applyBorder="1" applyAlignment="1" applyProtection="1">
      <alignment horizontal="right" vertical="center" wrapText="1" shrinkToFit="1"/>
      <protection locked="0"/>
    </xf>
    <xf numFmtId="9" fontId="5" fillId="35" borderId="19" xfId="0" applyNumberFormat="1" applyFont="1" applyFill="1" applyBorder="1" applyAlignment="1" applyProtection="1">
      <alignment horizontal="right" vertical="center"/>
      <protection locked="0"/>
    </xf>
    <xf numFmtId="0" fontId="0" fillId="34" borderId="0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10" fillId="0" borderId="25" xfId="0" applyFont="1" applyBorder="1" applyAlignment="1">
      <alignment/>
    </xf>
    <xf numFmtId="44" fontId="10" fillId="0" borderId="26" xfId="44" applyFont="1" applyBorder="1" applyAlignment="1">
      <alignment/>
    </xf>
    <xf numFmtId="0" fontId="0" fillId="0" borderId="27" xfId="0" applyBorder="1" applyAlignment="1">
      <alignment/>
    </xf>
    <xf numFmtId="44" fontId="0" fillId="0" borderId="28" xfId="44" applyFont="1" applyBorder="1" applyAlignment="1">
      <alignment/>
    </xf>
    <xf numFmtId="0" fontId="0" fillId="0" borderId="29" xfId="0" applyBorder="1" applyAlignment="1">
      <alignment/>
    </xf>
    <xf numFmtId="44" fontId="0" fillId="0" borderId="18" xfId="44" applyFont="1" applyBorder="1" applyAlignment="1">
      <alignment/>
    </xf>
    <xf numFmtId="0" fontId="0" fillId="0" borderId="30" xfId="0" applyBorder="1" applyAlignment="1">
      <alignment/>
    </xf>
    <xf numFmtId="9" fontId="0" fillId="0" borderId="0" xfId="58" applyFont="1" applyAlignment="1">
      <alignment/>
    </xf>
    <xf numFmtId="0" fontId="10" fillId="0" borderId="26" xfId="0" applyFont="1" applyBorder="1" applyAlignment="1">
      <alignment/>
    </xf>
    <xf numFmtId="9" fontId="0" fillId="0" borderId="27" xfId="0" applyNumberFormat="1" applyBorder="1" applyAlignment="1">
      <alignment horizontal="left"/>
    </xf>
    <xf numFmtId="0" fontId="0" fillId="0" borderId="28" xfId="0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9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0" fontId="5" fillId="36" borderId="0" xfId="0" applyFont="1" applyFill="1" applyAlignment="1" applyProtection="1">
      <alignment/>
      <protection/>
    </xf>
    <xf numFmtId="167" fontId="5" fillId="36" borderId="0" xfId="0" applyNumberFormat="1" applyFont="1" applyFill="1" applyAlignment="1" applyProtection="1">
      <alignment/>
      <protection/>
    </xf>
    <xf numFmtId="0" fontId="5" fillId="36" borderId="0" xfId="0" applyFont="1" applyFill="1" applyBorder="1" applyAlignment="1" applyProtection="1">
      <alignment horizontal="left" vertical="center" wrapText="1"/>
      <protection/>
    </xf>
    <xf numFmtId="0" fontId="5" fillId="36" borderId="0" xfId="0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 vertical="center" wrapText="1"/>
      <protection/>
    </xf>
    <xf numFmtId="0" fontId="4" fillId="36" borderId="0" xfId="0" applyFont="1" applyFill="1" applyAlignment="1" applyProtection="1">
      <alignment vertical="center"/>
      <protection/>
    </xf>
    <xf numFmtId="0" fontId="5" fillId="36" borderId="0" xfId="0" applyFont="1" applyFill="1" applyBorder="1" applyAlignment="1" applyProtection="1">
      <alignment/>
      <protection/>
    </xf>
    <xf numFmtId="0" fontId="5" fillId="36" borderId="0" xfId="0" applyFont="1" applyFill="1" applyBorder="1" applyAlignment="1" applyProtection="1">
      <alignment horizontal="center"/>
      <protection/>
    </xf>
    <xf numFmtId="0" fontId="7" fillId="36" borderId="0" xfId="0" applyFont="1" applyFill="1" applyBorder="1" applyAlignment="1" applyProtection="1">
      <alignment/>
      <protection/>
    </xf>
    <xf numFmtId="165" fontId="5" fillId="36" borderId="0" xfId="52" applyNumberFormat="1" applyFont="1" applyFill="1" applyBorder="1" applyAlignment="1" applyProtection="1">
      <alignment horizontal="left" vertical="justify" wrapText="1" shrinkToFit="1"/>
      <protection/>
    </xf>
    <xf numFmtId="0" fontId="5" fillId="36" borderId="0" xfId="0" applyFont="1" applyFill="1" applyBorder="1" applyAlignment="1" applyProtection="1">
      <alignment horizontal="right"/>
      <protection/>
    </xf>
    <xf numFmtId="0" fontId="5" fillId="36" borderId="0" xfId="0" applyFont="1" applyFill="1" applyBorder="1" applyAlignment="1" applyProtection="1">
      <alignment horizontal="left" vertical="justify" wrapText="1" shrinkToFit="1"/>
      <protection/>
    </xf>
    <xf numFmtId="0" fontId="5" fillId="36" borderId="0" xfId="0" applyFont="1" applyFill="1" applyBorder="1" applyAlignment="1" applyProtection="1">
      <alignment horizontal="left" vertical="top" wrapText="1" shrinkToFit="1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left"/>
      <protection/>
    </xf>
    <xf numFmtId="0" fontId="5" fillId="36" borderId="0" xfId="0" applyFont="1" applyFill="1" applyBorder="1" applyAlignment="1" applyProtection="1">
      <alignment/>
      <protection/>
    </xf>
    <xf numFmtId="0" fontId="5" fillId="36" borderId="33" xfId="0" applyFont="1" applyFill="1" applyBorder="1" applyAlignment="1" applyProtection="1">
      <alignment/>
      <protection/>
    </xf>
    <xf numFmtId="0" fontId="5" fillId="36" borderId="33" xfId="0" applyFont="1" applyFill="1" applyBorder="1" applyAlignment="1" applyProtection="1">
      <alignment horizontal="right"/>
      <protection/>
    </xf>
    <xf numFmtId="8" fontId="6" fillId="36" borderId="0" xfId="0" applyNumberFormat="1" applyFont="1" applyFill="1" applyBorder="1" applyAlignment="1" applyProtection="1">
      <alignment vertical="center" wrapText="1"/>
      <protection locked="0"/>
    </xf>
    <xf numFmtId="9" fontId="6" fillId="36" borderId="0" xfId="0" applyNumberFormat="1" applyFont="1" applyFill="1" applyBorder="1" applyAlignment="1" applyProtection="1">
      <alignment vertical="center" wrapText="1"/>
      <protection locked="0"/>
    </xf>
    <xf numFmtId="0" fontId="5" fillId="36" borderId="0" xfId="0" applyFont="1" applyFill="1" applyBorder="1" applyAlignment="1" applyProtection="1">
      <alignment horizontal="left" vertical="center" wrapText="1" shrinkToFit="1"/>
      <protection/>
    </xf>
    <xf numFmtId="0" fontId="5" fillId="36" borderId="0" xfId="0" applyFont="1" applyFill="1" applyBorder="1" applyAlignment="1" applyProtection="1">
      <alignment horizontal="left" vertical="top" wrapText="1"/>
      <protection/>
    </xf>
    <xf numFmtId="0" fontId="5" fillId="36" borderId="0" xfId="0" applyFont="1" applyFill="1" applyBorder="1" applyAlignment="1" applyProtection="1">
      <alignment horizontal="right" vertical="center"/>
      <protection/>
    </xf>
    <xf numFmtId="0" fontId="6" fillId="36" borderId="0" xfId="0" applyFont="1" applyFill="1" applyBorder="1" applyAlignment="1" applyProtection="1">
      <alignment horizontal="left" vertical="center"/>
      <protection/>
    </xf>
    <xf numFmtId="0" fontId="7" fillId="36" borderId="0" xfId="0" applyFont="1" applyFill="1" applyBorder="1" applyAlignment="1" applyProtection="1">
      <alignment horizontal="left" vertical="center"/>
      <protection/>
    </xf>
    <xf numFmtId="0" fontId="7" fillId="36" borderId="0" xfId="0" applyFont="1" applyFill="1" applyBorder="1" applyAlignment="1" applyProtection="1">
      <alignment horizontal="right" vertical="center"/>
      <protection/>
    </xf>
    <xf numFmtId="0" fontId="5" fillId="36" borderId="0" xfId="0" applyFont="1" applyFill="1" applyBorder="1" applyAlignment="1" applyProtection="1">
      <alignment horizontal="right" vertical="center"/>
      <protection locked="0"/>
    </xf>
    <xf numFmtId="10" fontId="5" fillId="36" borderId="0" xfId="0" applyNumberFormat="1" applyFont="1" applyFill="1" applyBorder="1" applyAlignment="1" applyProtection="1">
      <alignment horizontal="right" vertical="center"/>
      <protection locked="0"/>
    </xf>
    <xf numFmtId="0" fontId="5" fillId="37" borderId="34" xfId="0" applyFont="1" applyFill="1" applyBorder="1" applyAlignment="1">
      <alignment horizontal="center" vertical="center" wrapText="1"/>
    </xf>
    <xf numFmtId="2" fontId="5" fillId="37" borderId="34" xfId="0" applyNumberFormat="1" applyFont="1" applyFill="1" applyBorder="1" applyAlignment="1">
      <alignment horizontal="center" vertical="center" wrapText="1"/>
    </xf>
    <xf numFmtId="164" fontId="5" fillId="37" borderId="34" xfId="0" applyNumberFormat="1" applyFont="1" applyFill="1" applyBorder="1" applyAlignment="1">
      <alignment horizontal="center" vertical="center" wrapText="1"/>
    </xf>
    <xf numFmtId="0" fontId="5" fillId="37" borderId="34" xfId="0" applyFont="1" applyFill="1" applyBorder="1" applyAlignment="1" applyProtection="1">
      <alignment horizontal="center" vertical="center" wrapText="1"/>
      <protection/>
    </xf>
    <xf numFmtId="9" fontId="5" fillId="37" borderId="34" xfId="0" applyNumberFormat="1" applyFont="1" applyFill="1" applyBorder="1" applyAlignment="1" applyProtection="1">
      <alignment horizontal="center" vertical="center" wrapText="1"/>
      <protection/>
    </xf>
    <xf numFmtId="0" fontId="5" fillId="37" borderId="32" xfId="0" applyFont="1" applyFill="1" applyBorder="1" applyAlignment="1" applyProtection="1">
      <alignment horizontal="center" vertical="center" wrapText="1"/>
      <protection/>
    </xf>
    <xf numFmtId="164" fontId="5" fillId="0" borderId="22" xfId="0" applyNumberFormat="1" applyFont="1" applyFill="1" applyBorder="1" applyAlignment="1">
      <alignment horizontal="center" vertical="center" wrapText="1"/>
    </xf>
    <xf numFmtId="0" fontId="6" fillId="36" borderId="0" xfId="0" applyFont="1" applyFill="1" applyBorder="1" applyAlignment="1" applyProtection="1">
      <alignment/>
      <protection/>
    </xf>
    <xf numFmtId="9" fontId="5" fillId="36" borderId="0" xfId="0" applyNumberFormat="1" applyFont="1" applyFill="1" applyBorder="1" applyAlignment="1" applyProtection="1">
      <alignment/>
      <protection/>
    </xf>
    <xf numFmtId="164" fontId="5" fillId="36" borderId="0" xfId="0" applyNumberFormat="1" applyFont="1" applyFill="1" applyBorder="1" applyAlignment="1" applyProtection="1">
      <alignment/>
      <protection/>
    </xf>
    <xf numFmtId="9" fontId="6" fillId="36" borderId="0" xfId="0" applyNumberFormat="1" applyFont="1" applyFill="1" applyBorder="1" applyAlignment="1" applyProtection="1">
      <alignment/>
      <protection/>
    </xf>
    <xf numFmtId="4" fontId="5" fillId="36" borderId="0" xfId="0" applyNumberFormat="1" applyFont="1" applyFill="1" applyBorder="1" applyAlignment="1" applyProtection="1">
      <alignment/>
      <protection/>
    </xf>
    <xf numFmtId="165" fontId="5" fillId="36" borderId="0" xfId="0" applyNumberFormat="1" applyFont="1" applyFill="1" applyBorder="1" applyAlignment="1" applyProtection="1">
      <alignment/>
      <protection/>
    </xf>
    <xf numFmtId="8" fontId="6" fillId="36" borderId="0" xfId="0" applyNumberFormat="1" applyFont="1" applyFill="1" applyBorder="1" applyAlignment="1" applyProtection="1">
      <alignment/>
      <protection/>
    </xf>
    <xf numFmtId="164" fontId="6" fillId="36" borderId="0" xfId="0" applyNumberFormat="1" applyFont="1" applyFill="1" applyBorder="1" applyAlignment="1" applyProtection="1">
      <alignment horizontal="right"/>
      <protection/>
    </xf>
    <xf numFmtId="0" fontId="6" fillId="36" borderId="0" xfId="0" applyFont="1" applyFill="1" applyBorder="1" applyAlignment="1" applyProtection="1">
      <alignment horizontal="left" vertical="justify" wrapText="1"/>
      <protection/>
    </xf>
    <xf numFmtId="0" fontId="6" fillId="36" borderId="0" xfId="0" applyFont="1" applyFill="1" applyBorder="1" applyAlignment="1" applyProtection="1">
      <alignment horizontal="left"/>
      <protection/>
    </xf>
    <xf numFmtId="0" fontId="6" fillId="36" borderId="0" xfId="0" applyFont="1" applyFill="1" applyBorder="1" applyAlignment="1" applyProtection="1">
      <alignment horizontal="left" wrapText="1"/>
      <protection/>
    </xf>
    <xf numFmtId="2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 horizontal="right"/>
      <protection/>
    </xf>
    <xf numFmtId="0" fontId="0" fillId="36" borderId="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2" fillId="36" borderId="35" xfId="0" applyFont="1" applyFill="1" applyBorder="1" applyAlignment="1" applyProtection="1">
      <alignment vertical="center" wrapText="1"/>
      <protection/>
    </xf>
    <xf numFmtId="0" fontId="12" fillId="36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5" fillId="36" borderId="0" xfId="0" applyFont="1" applyFill="1" applyAlignment="1" applyProtection="1">
      <alignment horizontal="center" vertical="center" textRotation="90"/>
      <protection/>
    </xf>
    <xf numFmtId="0" fontId="0" fillId="36" borderId="0" xfId="0" applyFont="1" applyFill="1" applyAlignment="1" applyProtection="1">
      <alignment horizontal="center" vertical="center" wrapText="1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6" borderId="0" xfId="0" applyFont="1" applyFill="1" applyBorder="1" applyAlignment="1" applyProtection="1">
      <alignment/>
      <protection/>
    </xf>
    <xf numFmtId="0" fontId="0" fillId="36" borderId="0" xfId="0" applyFont="1" applyFill="1" applyAlignment="1" applyProtection="1">
      <alignment horizontal="left" vertical="center"/>
      <protection/>
    </xf>
    <xf numFmtId="6" fontId="0" fillId="36" borderId="0" xfId="0" applyNumberFormat="1" applyFont="1" applyFill="1" applyBorder="1" applyAlignment="1" applyProtection="1">
      <alignment/>
      <protection/>
    </xf>
    <xf numFmtId="164" fontId="0" fillId="36" borderId="0" xfId="0" applyNumberFormat="1" applyFont="1" applyFill="1" applyBorder="1" applyAlignment="1" applyProtection="1">
      <alignment/>
      <protection/>
    </xf>
    <xf numFmtId="1" fontId="0" fillId="36" borderId="0" xfId="0" applyNumberFormat="1" applyFont="1" applyFill="1" applyAlignment="1" applyProtection="1">
      <alignment horizontal="left" vertical="center"/>
      <protection/>
    </xf>
    <xf numFmtId="6" fontId="0" fillId="36" borderId="0" xfId="0" applyNumberFormat="1" applyFont="1" applyFill="1" applyAlignment="1" applyProtection="1">
      <alignment/>
      <protection/>
    </xf>
    <xf numFmtId="0" fontId="5" fillId="36" borderId="0" xfId="0" applyFont="1" applyFill="1" applyBorder="1" applyAlignment="1" applyProtection="1">
      <alignment horizontal="center" vertical="center" textRotation="90" wrapText="1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5" fillId="36" borderId="0" xfId="0" applyFont="1" applyFill="1" applyAlignment="1" applyProtection="1">
      <alignment vertical="center" textRotation="90"/>
      <protection/>
    </xf>
    <xf numFmtId="0" fontId="5" fillId="36" borderId="0" xfId="0" applyFont="1" applyFill="1" applyBorder="1" applyAlignment="1" applyProtection="1">
      <alignment vertical="center" wrapText="1"/>
      <protection/>
    </xf>
    <xf numFmtId="9" fontId="5" fillId="36" borderId="0" xfId="0" applyNumberFormat="1" applyFont="1" applyFill="1" applyBorder="1" applyAlignment="1">
      <alignment horizontal="center"/>
    </xf>
    <xf numFmtId="6" fontId="0" fillId="36" borderId="0" xfId="0" applyNumberFormat="1" applyFont="1" applyFill="1" applyAlignment="1" applyProtection="1">
      <alignment horizontal="left"/>
      <protection/>
    </xf>
    <xf numFmtId="0" fontId="5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6" fillId="36" borderId="0" xfId="0" applyFont="1" applyFill="1" applyBorder="1" applyAlignment="1" applyProtection="1">
      <alignment vertical="center" wrapText="1"/>
      <protection/>
    </xf>
    <xf numFmtId="0" fontId="0" fillId="36" borderId="0" xfId="0" applyNumberFormat="1" applyFont="1" applyFill="1" applyAlignment="1">
      <alignment/>
    </xf>
    <xf numFmtId="0" fontId="5" fillId="36" borderId="0" xfId="0" applyNumberFormat="1" applyFont="1" applyFill="1" applyBorder="1" applyAlignment="1" applyProtection="1">
      <alignment horizontal="center"/>
      <protection/>
    </xf>
    <xf numFmtId="164" fontId="0" fillId="36" borderId="0" xfId="0" applyNumberFormat="1" applyFont="1" applyFill="1" applyAlignment="1" applyProtection="1">
      <alignment/>
      <protection/>
    </xf>
    <xf numFmtId="1" fontId="5" fillId="36" borderId="0" xfId="0" applyNumberFormat="1" applyFont="1" applyFill="1" applyBorder="1" applyAlignment="1" applyProtection="1">
      <alignment horizontal="center"/>
      <protection/>
    </xf>
    <xf numFmtId="10" fontId="0" fillId="36" borderId="0" xfId="0" applyNumberFormat="1" applyFont="1" applyFill="1" applyAlignment="1" applyProtection="1">
      <alignment/>
      <protection/>
    </xf>
    <xf numFmtId="164" fontId="5" fillId="36" borderId="0" xfId="0" applyNumberFormat="1" applyFont="1" applyFill="1" applyAlignment="1" applyProtection="1">
      <alignment horizontal="center"/>
      <protection/>
    </xf>
    <xf numFmtId="165" fontId="0" fillId="36" borderId="0" xfId="0" applyNumberFormat="1" applyFont="1" applyFill="1" applyBorder="1" applyAlignment="1" applyProtection="1">
      <alignment/>
      <protection/>
    </xf>
    <xf numFmtId="10" fontId="0" fillId="36" borderId="0" xfId="0" applyNumberFormat="1" applyFont="1" applyFill="1" applyAlignment="1" applyProtection="1">
      <alignment horizontal="right"/>
      <protection/>
    </xf>
    <xf numFmtId="165" fontId="0" fillId="36" borderId="0" xfId="0" applyNumberFormat="1" applyFont="1" applyFill="1" applyAlignment="1" applyProtection="1">
      <alignment/>
      <protection/>
    </xf>
    <xf numFmtId="9" fontId="0" fillId="36" borderId="0" xfId="0" applyNumberFormat="1" applyFont="1" applyFill="1" applyBorder="1" applyAlignment="1" applyProtection="1">
      <alignment horizontal="center"/>
      <protection/>
    </xf>
    <xf numFmtId="9" fontId="0" fillId="36" borderId="0" xfId="0" applyNumberFormat="1" applyFont="1" applyFill="1" applyAlignment="1" applyProtection="1">
      <alignment horizontal="center"/>
      <protection/>
    </xf>
    <xf numFmtId="9" fontId="0" fillId="36" borderId="0" xfId="0" applyNumberFormat="1" applyFont="1" applyFill="1" applyBorder="1" applyAlignment="1" applyProtection="1">
      <alignment/>
      <protection/>
    </xf>
    <xf numFmtId="9" fontId="0" fillId="37" borderId="31" xfId="0" applyNumberFormat="1" applyFont="1" applyFill="1" applyBorder="1" applyAlignment="1">
      <alignment horizontal="center" vertical="center" wrapText="1"/>
    </xf>
    <xf numFmtId="0" fontId="0" fillId="37" borderId="34" xfId="0" applyFont="1" applyFill="1" applyBorder="1" applyAlignment="1">
      <alignment horizontal="center" vertical="center" wrapText="1"/>
    </xf>
    <xf numFmtId="49" fontId="0" fillId="37" borderId="34" xfId="0" applyNumberFormat="1" applyFont="1" applyFill="1" applyBorder="1" applyAlignment="1">
      <alignment horizontal="center" vertical="center" wrapText="1"/>
    </xf>
    <xf numFmtId="2" fontId="0" fillId="37" borderId="34" xfId="0" applyNumberFormat="1" applyFont="1" applyFill="1" applyBorder="1" applyAlignment="1">
      <alignment horizontal="center" vertical="center" wrapText="1"/>
    </xf>
    <xf numFmtId="164" fontId="0" fillId="37" borderId="34" xfId="0" applyNumberFormat="1" applyFont="1" applyFill="1" applyBorder="1" applyAlignment="1">
      <alignment horizontal="center" vertical="center" wrapText="1"/>
    </xf>
    <xf numFmtId="0" fontId="0" fillId="37" borderId="34" xfId="0" applyFont="1" applyFill="1" applyBorder="1" applyAlignment="1" applyProtection="1">
      <alignment horizontal="center" vertical="center" wrapText="1"/>
      <protection/>
    </xf>
    <xf numFmtId="9" fontId="0" fillId="37" borderId="32" xfId="0" applyNumberFormat="1" applyFont="1" applyFill="1" applyBorder="1" applyAlignment="1" applyProtection="1">
      <alignment horizontal="center" vertical="center" wrapText="1"/>
      <protection/>
    </xf>
    <xf numFmtId="9" fontId="0" fillId="37" borderId="29" xfId="0" applyNumberFormat="1" applyFont="1" applyFill="1" applyBorder="1" applyAlignment="1">
      <alignment/>
    </xf>
    <xf numFmtId="0" fontId="52" fillId="36" borderId="36" xfId="0" applyFont="1" applyFill="1" applyBorder="1" applyAlignment="1">
      <alignment/>
    </xf>
    <xf numFmtId="0" fontId="53" fillId="36" borderId="10" xfId="0" applyFont="1" applyFill="1" applyBorder="1" applyAlignment="1">
      <alignment/>
    </xf>
    <xf numFmtId="0" fontId="5" fillId="36" borderId="37" xfId="0" applyFont="1" applyFill="1" applyBorder="1" applyAlignment="1" applyProtection="1">
      <alignment horizontal="left" vertical="center"/>
      <protection/>
    </xf>
    <xf numFmtId="0" fontId="5" fillId="36" borderId="38" xfId="0" applyFont="1" applyFill="1" applyBorder="1" applyAlignment="1" applyProtection="1">
      <alignment/>
      <protection/>
    </xf>
    <xf numFmtId="0" fontId="5" fillId="36" borderId="39" xfId="0" applyFont="1" applyFill="1" applyBorder="1" applyAlignment="1" applyProtection="1">
      <alignment horizontal="right"/>
      <protection/>
    </xf>
    <xf numFmtId="0" fontId="5" fillId="36" borderId="35" xfId="0" applyFont="1" applyFill="1" applyBorder="1" applyAlignment="1" applyProtection="1">
      <alignment horizontal="left" vertical="center"/>
      <protection/>
    </xf>
    <xf numFmtId="0" fontId="5" fillId="36" borderId="40" xfId="0" applyFont="1" applyFill="1" applyBorder="1" applyAlignment="1" applyProtection="1">
      <alignment horizontal="left" vertical="center"/>
      <protection/>
    </xf>
    <xf numFmtId="0" fontId="5" fillId="36" borderId="41" xfId="0" applyFont="1" applyFill="1" applyBorder="1" applyAlignment="1" applyProtection="1">
      <alignment/>
      <protection/>
    </xf>
    <xf numFmtId="0" fontId="5" fillId="36" borderId="42" xfId="0" applyFont="1" applyFill="1" applyBorder="1" applyAlignment="1" applyProtection="1">
      <alignment horizontal="right"/>
      <protection/>
    </xf>
    <xf numFmtId="0" fontId="5" fillId="36" borderId="38" xfId="0" applyFont="1" applyFill="1" applyBorder="1" applyAlignment="1" applyProtection="1">
      <alignment horizontal="left" vertical="center"/>
      <protection/>
    </xf>
    <xf numFmtId="0" fontId="5" fillId="36" borderId="39" xfId="0" applyFont="1" applyFill="1" applyBorder="1" applyAlignment="1" applyProtection="1">
      <alignment horizontal="left" vertical="top" wrapText="1" shrinkToFit="1"/>
      <protection/>
    </xf>
    <xf numFmtId="0" fontId="5" fillId="36" borderId="41" xfId="0" applyFont="1" applyFill="1" applyBorder="1" applyAlignment="1" applyProtection="1">
      <alignment horizontal="left" vertical="center"/>
      <protection/>
    </xf>
    <xf numFmtId="0" fontId="5" fillId="36" borderId="42" xfId="0" applyFont="1" applyFill="1" applyBorder="1" applyAlignment="1" applyProtection="1">
      <alignment horizontal="left" vertical="top" wrapText="1" shrinkToFit="1"/>
      <protection/>
    </xf>
    <xf numFmtId="0" fontId="5" fillId="36" borderId="37" xfId="0" applyFont="1" applyFill="1" applyBorder="1" applyAlignment="1" applyProtection="1">
      <alignment horizontal="left" vertical="top" wrapText="1"/>
      <protection/>
    </xf>
    <xf numFmtId="0" fontId="5" fillId="36" borderId="39" xfId="0" applyFont="1" applyFill="1" applyBorder="1" applyAlignment="1" applyProtection="1">
      <alignment horizontal="right" vertical="center"/>
      <protection/>
    </xf>
    <xf numFmtId="0" fontId="5" fillId="36" borderId="35" xfId="0" applyFont="1" applyFill="1" applyBorder="1" applyAlignment="1" applyProtection="1">
      <alignment horizontal="left" vertical="top" wrapText="1"/>
      <protection/>
    </xf>
    <xf numFmtId="0" fontId="5" fillId="36" borderId="33" xfId="0" applyFont="1" applyFill="1" applyBorder="1" applyAlignment="1" applyProtection="1">
      <alignment horizontal="right" vertical="center"/>
      <protection/>
    </xf>
    <xf numFmtId="0" fontId="5" fillId="36" borderId="35" xfId="0" applyFont="1" applyFill="1" applyBorder="1" applyAlignment="1" applyProtection="1">
      <alignment horizontal="right"/>
      <protection/>
    </xf>
    <xf numFmtId="0" fontId="5" fillId="36" borderId="40" xfId="0" applyFont="1" applyFill="1" applyBorder="1" applyAlignment="1" applyProtection="1">
      <alignment horizontal="right"/>
      <protection/>
    </xf>
    <xf numFmtId="0" fontId="5" fillId="36" borderId="42" xfId="0" applyFont="1" applyFill="1" applyBorder="1" applyAlignment="1" applyProtection="1">
      <alignment horizontal="right" vertical="center"/>
      <protection/>
    </xf>
    <xf numFmtId="0" fontId="0" fillId="36" borderId="35" xfId="0" applyFont="1" applyFill="1" applyBorder="1" applyAlignment="1" applyProtection="1">
      <alignment horizontal="left" vertical="center"/>
      <protection/>
    </xf>
    <xf numFmtId="164" fontId="5" fillId="35" borderId="21" xfId="0" applyNumberFormat="1" applyFont="1" applyFill="1" applyBorder="1" applyAlignment="1" applyProtection="1">
      <alignment horizontal="right" vertical="center"/>
      <protection locked="0"/>
    </xf>
    <xf numFmtId="6" fontId="5" fillId="35" borderId="21" xfId="0" applyNumberFormat="1" applyFont="1" applyFill="1" applyBorder="1" applyAlignment="1" applyProtection="1">
      <alignment horizontal="right" vertical="center"/>
      <protection locked="0"/>
    </xf>
    <xf numFmtId="164" fontId="5" fillId="36" borderId="43" xfId="0" applyNumberFormat="1" applyFont="1" applyFill="1" applyBorder="1" applyAlignment="1" applyProtection="1">
      <alignment horizontal="right" vertical="center"/>
      <protection/>
    </xf>
    <xf numFmtId="164" fontId="5" fillId="36" borderId="44" xfId="0" applyNumberFormat="1" applyFont="1" applyFill="1" applyBorder="1" applyAlignment="1" applyProtection="1">
      <alignment horizontal="right" vertical="center"/>
      <protection/>
    </xf>
    <xf numFmtId="164" fontId="5" fillId="34" borderId="45" xfId="0" applyNumberFormat="1" applyFont="1" applyFill="1" applyBorder="1" applyAlignment="1" applyProtection="1">
      <alignment horizontal="right" vertical="center"/>
      <protection/>
    </xf>
    <xf numFmtId="164" fontId="5" fillId="34" borderId="46" xfId="0" applyNumberFormat="1" applyFont="1" applyFill="1" applyBorder="1" applyAlignment="1" applyProtection="1">
      <alignment horizontal="right" vertical="center"/>
      <protection/>
    </xf>
    <xf numFmtId="0" fontId="0" fillId="36" borderId="39" xfId="0" applyFont="1" applyFill="1" applyBorder="1" applyAlignment="1" applyProtection="1">
      <alignment/>
      <protection/>
    </xf>
    <xf numFmtId="0" fontId="0" fillId="36" borderId="33" xfId="0" applyFont="1" applyFill="1" applyBorder="1" applyAlignment="1" applyProtection="1">
      <alignment/>
      <protection/>
    </xf>
    <xf numFmtId="0" fontId="5" fillId="36" borderId="41" xfId="0" applyFont="1" applyFill="1" applyBorder="1" applyAlignment="1" applyProtection="1">
      <alignment horizontal="left"/>
      <protection/>
    </xf>
    <xf numFmtId="0" fontId="5" fillId="36" borderId="38" xfId="0" applyFont="1" applyFill="1" applyBorder="1" applyAlignment="1" applyProtection="1">
      <alignment horizontal="left"/>
      <protection/>
    </xf>
    <xf numFmtId="0" fontId="0" fillId="36" borderId="39" xfId="0" applyFont="1" applyFill="1" applyBorder="1" applyAlignment="1" applyProtection="1">
      <alignment horizontal="right"/>
      <protection/>
    </xf>
    <xf numFmtId="0" fontId="0" fillId="36" borderId="42" xfId="0" applyFont="1" applyFill="1" applyBorder="1" applyAlignment="1" applyProtection="1">
      <alignment horizontal="right"/>
      <protection/>
    </xf>
    <xf numFmtId="6" fontId="0" fillId="36" borderId="39" xfId="0" applyNumberFormat="1" applyFont="1" applyFill="1" applyBorder="1" applyAlignment="1" applyProtection="1">
      <alignment horizontal="right"/>
      <protection/>
    </xf>
    <xf numFmtId="0" fontId="0" fillId="36" borderId="38" xfId="0" applyFont="1" applyFill="1" applyBorder="1" applyAlignment="1" applyProtection="1">
      <alignment/>
      <protection/>
    </xf>
    <xf numFmtId="0" fontId="5" fillId="36" borderId="41" xfId="0" applyFont="1" applyFill="1" applyBorder="1" applyAlignment="1" applyProtection="1">
      <alignment horizontal="right"/>
      <protection/>
    </xf>
    <xf numFmtId="164" fontId="5" fillId="36" borderId="0" xfId="0" applyNumberFormat="1" applyFont="1" applyFill="1" applyBorder="1" applyAlignment="1" applyProtection="1">
      <alignment horizontal="right" vertical="center"/>
      <protection locked="0"/>
    </xf>
    <xf numFmtId="0" fontId="51" fillId="36" borderId="35" xfId="0" applyFont="1" applyFill="1" applyBorder="1" applyAlignment="1" applyProtection="1">
      <alignment horizontal="left" vertical="center"/>
      <protection/>
    </xf>
    <xf numFmtId="0" fontId="51" fillId="36" borderId="0" xfId="0" applyFont="1" applyFill="1" applyBorder="1" applyAlignment="1" applyProtection="1">
      <alignment/>
      <protection/>
    </xf>
    <xf numFmtId="0" fontId="51" fillId="36" borderId="33" xfId="0" applyFont="1" applyFill="1" applyBorder="1" applyAlignment="1" applyProtection="1">
      <alignment/>
      <protection/>
    </xf>
    <xf numFmtId="164" fontId="54" fillId="35" borderId="21" xfId="0" applyNumberFormat="1" applyFont="1" applyFill="1" applyBorder="1" applyAlignment="1" applyProtection="1">
      <alignment horizontal="right" vertical="center"/>
      <protection locked="0"/>
    </xf>
    <xf numFmtId="0" fontId="54" fillId="36" borderId="0" xfId="0" applyFont="1" applyFill="1" applyBorder="1" applyAlignment="1" applyProtection="1">
      <alignment/>
      <protection/>
    </xf>
    <xf numFmtId="6" fontId="54" fillId="38" borderId="20" xfId="0" applyNumberFormat="1" applyFont="1" applyFill="1" applyBorder="1" applyAlignment="1" applyProtection="1">
      <alignment horizontal="right" vertical="center"/>
      <protection locked="0"/>
    </xf>
    <xf numFmtId="0" fontId="51" fillId="36" borderId="33" xfId="0" applyFont="1" applyFill="1" applyBorder="1" applyAlignment="1" applyProtection="1">
      <alignment horizontal="right"/>
      <protection/>
    </xf>
    <xf numFmtId="6" fontId="54" fillId="38" borderId="19" xfId="0" applyNumberFormat="1" applyFont="1" applyFill="1" applyBorder="1" applyAlignment="1" applyProtection="1">
      <alignment horizontal="right" vertical="center"/>
      <protection locked="0"/>
    </xf>
    <xf numFmtId="170" fontId="5" fillId="35" borderId="24" xfId="0" applyNumberFormat="1" applyFont="1" applyFill="1" applyBorder="1" applyAlignment="1" applyProtection="1">
      <alignment horizontal="right" vertical="center" wrapText="1"/>
      <protection locked="0"/>
    </xf>
    <xf numFmtId="10" fontId="5" fillId="35" borderId="24" xfId="0" applyNumberFormat="1" applyFont="1" applyFill="1" applyBorder="1" applyAlignment="1" applyProtection="1">
      <alignment horizontal="right" vertical="center" wrapText="1"/>
      <protection locked="0"/>
    </xf>
    <xf numFmtId="9" fontId="0" fillId="36" borderId="0" xfId="0" applyNumberFormat="1" applyFont="1" applyFill="1" applyAlignment="1" applyProtection="1">
      <alignment/>
      <protection/>
    </xf>
    <xf numFmtId="0" fontId="5" fillId="35" borderId="47" xfId="0" applyFont="1" applyFill="1" applyBorder="1" applyAlignment="1" applyProtection="1">
      <alignment horizontal="left" vertical="center"/>
      <protection locked="0"/>
    </xf>
    <xf numFmtId="0" fontId="5" fillId="35" borderId="48" xfId="0" applyFont="1" applyFill="1" applyBorder="1" applyAlignment="1" applyProtection="1">
      <alignment horizontal="left" vertical="center"/>
      <protection locked="0"/>
    </xf>
    <xf numFmtId="0" fontId="5" fillId="35" borderId="21" xfId="0" applyFont="1" applyFill="1" applyBorder="1" applyAlignment="1" applyProtection="1">
      <alignment horizontal="left" vertical="center"/>
      <protection locked="0"/>
    </xf>
    <xf numFmtId="0" fontId="5" fillId="0" borderId="47" xfId="0" applyFont="1" applyFill="1" applyBorder="1" applyAlignment="1" applyProtection="1">
      <alignment horizontal="left"/>
      <protection/>
    </xf>
    <xf numFmtId="0" fontId="5" fillId="0" borderId="21" xfId="0" applyFont="1" applyFill="1" applyBorder="1" applyAlignment="1" applyProtection="1">
      <alignment horizontal="left"/>
      <protection/>
    </xf>
    <xf numFmtId="0" fontId="0" fillId="35" borderId="37" xfId="0" applyFont="1" applyFill="1" applyBorder="1" applyAlignment="1" applyProtection="1">
      <alignment horizontal="center"/>
      <protection locked="0"/>
    </xf>
    <xf numFmtId="0" fontId="0" fillId="35" borderId="39" xfId="0" applyFont="1" applyFill="1" applyBorder="1" applyAlignment="1" applyProtection="1">
      <alignment horizontal="center"/>
      <protection locked="0"/>
    </xf>
    <xf numFmtId="0" fontId="0" fillId="35" borderId="40" xfId="0" applyFont="1" applyFill="1" applyBorder="1" applyAlignment="1" applyProtection="1">
      <alignment horizontal="center"/>
      <protection locked="0"/>
    </xf>
    <xf numFmtId="0" fontId="0" fillId="35" borderId="42" xfId="0" applyFont="1" applyFill="1" applyBorder="1" applyAlignment="1" applyProtection="1">
      <alignment horizontal="center"/>
      <protection locked="0"/>
    </xf>
    <xf numFmtId="0" fontId="11" fillId="37" borderId="37" xfId="0" applyFont="1" applyFill="1" applyBorder="1" applyAlignment="1" applyProtection="1">
      <alignment horizontal="center" vertical="center" wrapText="1"/>
      <protection/>
    </xf>
    <xf numFmtId="0" fontId="11" fillId="37" borderId="38" xfId="0" applyFont="1" applyFill="1" applyBorder="1" applyAlignment="1" applyProtection="1">
      <alignment horizontal="center" vertical="center" wrapText="1"/>
      <protection/>
    </xf>
    <xf numFmtId="0" fontId="11" fillId="37" borderId="40" xfId="0" applyFont="1" applyFill="1" applyBorder="1" applyAlignment="1" applyProtection="1">
      <alignment horizontal="center" vertical="center" wrapText="1"/>
      <protection/>
    </xf>
    <xf numFmtId="0" fontId="11" fillId="37" borderId="41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 applyProtection="1">
      <alignment horizontal="left" vertical="center" wrapText="1" shrinkToFit="1"/>
      <protection/>
    </xf>
    <xf numFmtId="0" fontId="5" fillId="0" borderId="48" xfId="0" applyFont="1" applyFill="1" applyBorder="1" applyAlignment="1" applyProtection="1">
      <alignment horizontal="left" vertical="center" wrapText="1" shrinkToFit="1"/>
      <protection/>
    </xf>
    <xf numFmtId="0" fontId="5" fillId="0" borderId="21" xfId="0" applyFont="1" applyFill="1" applyBorder="1" applyAlignment="1" applyProtection="1">
      <alignment horizontal="left" vertical="center" wrapText="1" shrinkToFit="1"/>
      <protection/>
    </xf>
    <xf numFmtId="0" fontId="11" fillId="35" borderId="37" xfId="0" applyFont="1" applyFill="1" applyBorder="1" applyAlignment="1" applyProtection="1">
      <alignment horizontal="center" vertical="center" wrapText="1"/>
      <protection/>
    </xf>
    <xf numFmtId="0" fontId="11" fillId="35" borderId="38" xfId="0" applyFont="1" applyFill="1" applyBorder="1" applyAlignment="1" applyProtection="1">
      <alignment horizontal="center" vertical="center" wrapText="1"/>
      <protection/>
    </xf>
    <xf numFmtId="0" fontId="11" fillId="35" borderId="39" xfId="0" applyFont="1" applyFill="1" applyBorder="1" applyAlignment="1" applyProtection="1">
      <alignment horizontal="center" vertical="center" wrapText="1"/>
      <protection/>
    </xf>
    <xf numFmtId="0" fontId="11" fillId="35" borderId="40" xfId="0" applyFont="1" applyFill="1" applyBorder="1" applyAlignment="1" applyProtection="1">
      <alignment horizontal="center" vertical="center" wrapText="1"/>
      <protection/>
    </xf>
    <xf numFmtId="0" fontId="11" fillId="35" borderId="41" xfId="0" applyFont="1" applyFill="1" applyBorder="1" applyAlignment="1" applyProtection="1">
      <alignment horizontal="center" vertical="center" wrapText="1"/>
      <protection/>
    </xf>
    <xf numFmtId="0" fontId="11" fillId="35" borderId="42" xfId="0" applyFont="1" applyFill="1" applyBorder="1" applyAlignment="1" applyProtection="1">
      <alignment horizontal="center" vertical="center" wrapText="1"/>
      <protection/>
    </xf>
    <xf numFmtId="49" fontId="5" fillId="35" borderId="47" xfId="0" applyNumberFormat="1" applyFont="1" applyFill="1" applyBorder="1" applyAlignment="1" applyProtection="1">
      <alignment horizontal="left" vertical="center" wrapText="1" shrinkToFit="1"/>
      <protection locked="0"/>
    </xf>
    <xf numFmtId="49" fontId="5" fillId="35" borderId="48" xfId="0" applyNumberFormat="1" applyFont="1" applyFill="1" applyBorder="1" applyAlignment="1" applyProtection="1">
      <alignment horizontal="left" vertical="center" wrapText="1" shrinkToFit="1"/>
      <protection locked="0"/>
    </xf>
    <xf numFmtId="49" fontId="5" fillId="35" borderId="21" xfId="0" applyNumberFormat="1" applyFont="1" applyFill="1" applyBorder="1" applyAlignment="1" applyProtection="1">
      <alignment horizontal="left" vertical="center" wrapText="1" shrinkToFit="1"/>
      <protection locked="0"/>
    </xf>
    <xf numFmtId="0" fontId="13" fillId="37" borderId="49" xfId="0" applyFont="1" applyFill="1" applyBorder="1" applyAlignment="1" applyProtection="1">
      <alignment horizontal="center" vertical="center" textRotation="90" wrapText="1"/>
      <protection/>
    </xf>
    <xf numFmtId="0" fontId="13" fillId="37" borderId="50" xfId="0" applyFont="1" applyFill="1" applyBorder="1" applyAlignment="1" applyProtection="1">
      <alignment horizontal="center" vertical="center" textRotation="90" wrapText="1"/>
      <protection/>
    </xf>
    <xf numFmtId="0" fontId="13" fillId="37" borderId="51" xfId="0" applyFont="1" applyFill="1" applyBorder="1" applyAlignment="1" applyProtection="1">
      <alignment horizontal="center" vertical="center" textRotation="90" wrapText="1"/>
      <protection/>
    </xf>
    <xf numFmtId="0" fontId="0" fillId="35" borderId="47" xfId="0" applyFont="1" applyFill="1" applyBorder="1" applyAlignment="1" applyProtection="1">
      <alignment horizontal="left" vertical="center" wrapText="1"/>
      <protection locked="0"/>
    </xf>
    <xf numFmtId="0" fontId="0" fillId="35" borderId="48" xfId="0" applyFont="1" applyFill="1" applyBorder="1" applyAlignment="1" applyProtection="1">
      <alignment horizontal="left" vertical="center" wrapText="1"/>
      <protection locked="0"/>
    </xf>
    <xf numFmtId="0" fontId="0" fillId="35" borderId="21" xfId="0" applyFont="1" applyFill="1" applyBorder="1" applyAlignment="1" applyProtection="1">
      <alignment horizontal="left" vertical="center" wrapText="1"/>
      <protection locked="0"/>
    </xf>
    <xf numFmtId="0" fontId="5" fillId="37" borderId="49" xfId="0" applyFont="1" applyFill="1" applyBorder="1" applyAlignment="1" applyProtection="1">
      <alignment horizontal="center" vertical="center" textRotation="90" wrapText="1"/>
      <protection/>
    </xf>
    <xf numFmtId="0" fontId="5" fillId="37" borderId="50" xfId="0" applyFont="1" applyFill="1" applyBorder="1" applyAlignment="1" applyProtection="1">
      <alignment horizontal="center" vertical="center" textRotation="90" wrapText="1"/>
      <protection/>
    </xf>
    <xf numFmtId="0" fontId="5" fillId="37" borderId="51" xfId="0" applyFont="1" applyFill="1" applyBorder="1" applyAlignment="1" applyProtection="1">
      <alignment horizontal="center" vertical="center" textRotation="90" wrapText="1"/>
      <protection/>
    </xf>
    <xf numFmtId="0" fontId="14" fillId="36" borderId="0" xfId="0" applyFont="1" applyFill="1" applyBorder="1" applyAlignment="1" applyProtection="1">
      <alignment horizontal="center" vertical="center" wrapText="1"/>
      <protection/>
    </xf>
    <xf numFmtId="0" fontId="12" fillId="36" borderId="0" xfId="0" applyFont="1" applyFill="1" applyBorder="1" applyAlignment="1" applyProtection="1">
      <alignment horizontal="center" vertical="center" wrapText="1"/>
      <protection/>
    </xf>
    <xf numFmtId="8" fontId="7" fillId="36" borderId="0" xfId="0" applyNumberFormat="1" applyFont="1" applyFill="1" applyBorder="1" applyAlignment="1" applyProtection="1">
      <alignment horizontal="left"/>
      <protection/>
    </xf>
    <xf numFmtId="0" fontId="5" fillId="36" borderId="0" xfId="0" applyFont="1" applyFill="1" applyBorder="1" applyAlignment="1" applyProtection="1">
      <alignment horizontal="left" vertical="center" wrapText="1"/>
      <protection/>
    </xf>
    <xf numFmtId="0" fontId="5" fillId="38" borderId="31" xfId="0" applyFont="1" applyFill="1" applyBorder="1" applyAlignment="1">
      <alignment horizontal="center" vertical="center" wrapText="1"/>
    </xf>
    <xf numFmtId="0" fontId="5" fillId="38" borderId="34" xfId="0" applyFont="1" applyFill="1" applyBorder="1" applyAlignment="1">
      <alignment horizontal="center" vertical="center" wrapText="1"/>
    </xf>
    <xf numFmtId="9" fontId="5" fillId="38" borderId="30" xfId="0" applyNumberFormat="1" applyFont="1" applyFill="1" applyBorder="1" applyAlignment="1" applyProtection="1">
      <alignment horizontal="center" vertical="center"/>
      <protection locked="0"/>
    </xf>
    <xf numFmtId="9" fontId="5" fillId="38" borderId="22" xfId="0" applyNumberFormat="1" applyFont="1" applyFill="1" applyBorder="1" applyAlignment="1" applyProtection="1">
      <alignment horizontal="center" vertical="center"/>
      <protection locked="0"/>
    </xf>
    <xf numFmtId="0" fontId="5" fillId="37" borderId="20" xfId="0" applyFont="1" applyFill="1" applyBorder="1" applyAlignment="1" applyProtection="1">
      <alignment horizontal="center" vertical="center" wrapText="1"/>
      <protection/>
    </xf>
    <xf numFmtId="0" fontId="5" fillId="37" borderId="52" xfId="0" applyFont="1" applyFill="1" applyBorder="1" applyAlignment="1" applyProtection="1">
      <alignment horizontal="center" vertical="center" wrapText="1"/>
      <protection/>
    </xf>
    <xf numFmtId="0" fontId="5" fillId="37" borderId="2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5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  <fill>
        <patternFill patternType="solid">
          <bgColor indexed="9"/>
        </patternFill>
      </fill>
    </dxf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theme="0"/>
      </font>
      <fill>
        <patternFill>
          <bgColor rgb="FFFF0000"/>
        </patternFill>
      </fill>
    </dxf>
    <dxf/>
    <dxf>
      <font>
        <b/>
        <i val="0"/>
        <color indexed="9"/>
      </font>
      <fill>
        <patternFill>
          <bgColor indexed="10"/>
        </patternFill>
      </fill>
    </dxf>
    <dxf/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auto="1"/>
      </font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C348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35</xdr:row>
      <xdr:rowOff>114300</xdr:rowOff>
    </xdr:from>
    <xdr:to>
      <xdr:col>10</xdr:col>
      <xdr:colOff>323850</xdr:colOff>
      <xdr:row>37</xdr:row>
      <xdr:rowOff>0</xdr:rowOff>
    </xdr:to>
    <xdr:sp macro="[0]!maxshare">
      <xdr:nvSpPr>
        <xdr:cNvPr id="1" name="AutoShape 23"/>
        <xdr:cNvSpPr>
          <a:spLocks/>
        </xdr:cNvSpPr>
      </xdr:nvSpPr>
      <xdr:spPr>
        <a:xfrm>
          <a:off x="714375" y="7286625"/>
          <a:ext cx="6648450" cy="247650"/>
        </a:xfrm>
        <a:prstGeom prst="roundRect">
          <a:avLst/>
        </a:prstGeom>
        <a:solidFill>
          <a:srgbClr val="00999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click here for maximum share affordability </a:t>
          </a:r>
        </a:p>
      </xdr:txBody>
    </xdr:sp>
    <xdr:clientData/>
  </xdr:twoCellAnchor>
  <xdr:twoCellAnchor>
    <xdr:from>
      <xdr:col>2</xdr:col>
      <xdr:colOff>142875</xdr:colOff>
      <xdr:row>41</xdr:row>
      <xdr:rowOff>0</xdr:rowOff>
    </xdr:from>
    <xdr:to>
      <xdr:col>6</xdr:col>
      <xdr:colOff>533400</xdr:colOff>
      <xdr:row>43</xdr:row>
      <xdr:rowOff>0</xdr:rowOff>
    </xdr:to>
    <xdr:sp macro="[0]!checklevels">
      <xdr:nvSpPr>
        <xdr:cNvPr id="2" name="Text Box 27"/>
        <xdr:cNvSpPr txBox="1">
          <a:spLocks noChangeArrowheads="1"/>
        </xdr:cNvSpPr>
      </xdr:nvSpPr>
      <xdr:spPr>
        <a:xfrm>
          <a:off x="857250" y="8886825"/>
          <a:ext cx="2695575" cy="285750"/>
        </a:xfrm>
        <a:prstGeom prst="rect">
          <a:avLst/>
        </a:prstGeom>
        <a:solidFill>
          <a:srgbClr val="00999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check share purchase levels</a:t>
          </a:r>
        </a:p>
      </xdr:txBody>
    </xdr:sp>
    <xdr:clientData fLocksWithSheet="0"/>
  </xdr:twoCellAnchor>
  <xdr:twoCellAnchor>
    <xdr:from>
      <xdr:col>11</xdr:col>
      <xdr:colOff>819150</xdr:colOff>
      <xdr:row>41</xdr:row>
      <xdr:rowOff>9525</xdr:rowOff>
    </xdr:from>
    <xdr:to>
      <xdr:col>14</xdr:col>
      <xdr:colOff>571500</xdr:colOff>
      <xdr:row>43</xdr:row>
      <xdr:rowOff>9525</xdr:rowOff>
    </xdr:to>
    <xdr:sp macro="[0]!printsheet">
      <xdr:nvSpPr>
        <xdr:cNvPr id="3" name="Text Box 28"/>
        <xdr:cNvSpPr txBox="1">
          <a:spLocks noChangeArrowheads="1"/>
        </xdr:cNvSpPr>
      </xdr:nvSpPr>
      <xdr:spPr>
        <a:xfrm>
          <a:off x="8448675" y="8896350"/>
          <a:ext cx="3390900" cy="276225"/>
        </a:xfrm>
        <a:prstGeom prst="rect">
          <a:avLst/>
        </a:prstGeom>
        <a:solidFill>
          <a:srgbClr val="00999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LocksWithSheet="0"/>
  </xdr:twoCellAnchor>
  <xdr:twoCellAnchor>
    <xdr:from>
      <xdr:col>7</xdr:col>
      <xdr:colOff>409575</xdr:colOff>
      <xdr:row>41</xdr:row>
      <xdr:rowOff>0</xdr:rowOff>
    </xdr:from>
    <xdr:to>
      <xdr:col>11</xdr:col>
      <xdr:colOff>0</xdr:colOff>
      <xdr:row>43</xdr:row>
      <xdr:rowOff>0</xdr:rowOff>
    </xdr:to>
    <xdr:sp macro="[0]!clearform">
      <xdr:nvSpPr>
        <xdr:cNvPr id="4" name="Text Box 29"/>
        <xdr:cNvSpPr txBox="1">
          <a:spLocks noChangeArrowheads="1"/>
        </xdr:cNvSpPr>
      </xdr:nvSpPr>
      <xdr:spPr>
        <a:xfrm>
          <a:off x="4210050" y="8886825"/>
          <a:ext cx="3419475" cy="285750"/>
        </a:xfrm>
        <a:prstGeom prst="rect">
          <a:avLst/>
        </a:prstGeom>
        <a:solidFill>
          <a:srgbClr val="00999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reset form</a:t>
          </a:r>
        </a:p>
      </xdr:txBody>
    </xdr:sp>
    <xdr:clientData fLocksWithSheet="0"/>
  </xdr:twoCellAnchor>
  <xdr:twoCellAnchor editAs="absolute">
    <xdr:from>
      <xdr:col>9</xdr:col>
      <xdr:colOff>800100</xdr:colOff>
      <xdr:row>0</xdr:row>
      <xdr:rowOff>0</xdr:rowOff>
    </xdr:from>
    <xdr:to>
      <xdr:col>11</xdr:col>
      <xdr:colOff>438150</xdr:colOff>
      <xdr:row>4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0"/>
          <a:ext cx="11620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11</xdr:col>
      <xdr:colOff>361950</xdr:colOff>
      <xdr:row>0</xdr:row>
      <xdr:rowOff>9525</xdr:rowOff>
    </xdr:from>
    <xdr:to>
      <xdr:col>12</xdr:col>
      <xdr:colOff>0</xdr:colOff>
      <xdr:row>4</xdr:row>
      <xdr:rowOff>76200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91475" y="9525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oothe\Local%20Settings\Temporary%20Internet%20Files\OLK1B\Swaythling%20AFHOS%20IQF%2015.3.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FHOS affordability calculator"/>
    </sheetNames>
    <sheetDataSet>
      <sheetData sheetId="0">
        <row r="3">
          <cell r="A3" t="str">
            <v>Blue Forces</v>
          </cell>
          <cell r="B3" t="str">
            <v>Kate Williams  katew@swayhs.org.uk</v>
          </cell>
        </row>
        <row r="4">
          <cell r="A4" t="str">
            <v>Abacus</v>
          </cell>
          <cell r="B4" t="str">
            <v>Tim Willcocks  timw@swayhs.org.uk</v>
          </cell>
        </row>
        <row r="5">
          <cell r="A5" t="str">
            <v>Stone Financial</v>
          </cell>
        </row>
        <row r="6">
          <cell r="A6" t="str">
            <v>Pearson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11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9.8515625" style="0" bestFit="1" customWidth="1"/>
    <col min="2" max="2" width="12.28125" style="0" bestFit="1" customWidth="1"/>
  </cols>
  <sheetData>
    <row r="1" spans="1:2" ht="13.5" thickBot="1">
      <c r="A1" s="57" t="s">
        <v>80</v>
      </c>
      <c r="B1" s="58">
        <v>65600</v>
      </c>
    </row>
    <row r="2" spans="1:2" ht="12.75">
      <c r="A2" s="59" t="s">
        <v>85</v>
      </c>
      <c r="B2" s="60">
        <f>B1/0.85*0.15</f>
        <v>11576.470588235296</v>
      </c>
    </row>
    <row r="3" spans="1:2" ht="12.75">
      <c r="A3" s="61" t="s">
        <v>81</v>
      </c>
      <c r="B3" s="62">
        <f>SUM(B1:B2)</f>
        <v>77176.4705882353</v>
      </c>
    </row>
    <row r="4" ht="13.5" thickBot="1">
      <c r="B4" s="64"/>
    </row>
    <row r="5" spans="1:2" ht="13.5" thickBot="1">
      <c r="A5" s="57" t="s">
        <v>82</v>
      </c>
      <c r="B5" s="65">
        <v>120000</v>
      </c>
    </row>
    <row r="6" spans="1:2" ht="12.75">
      <c r="A6" s="66" t="s">
        <v>86</v>
      </c>
      <c r="B6" s="67">
        <f>B5*0.75</f>
        <v>90000</v>
      </c>
    </row>
    <row r="7" spans="1:2" ht="12.75">
      <c r="A7" s="61" t="s">
        <v>83</v>
      </c>
      <c r="B7" s="68">
        <f>B6*0.85</f>
        <v>76500</v>
      </c>
    </row>
    <row r="8" spans="1:2" ht="13.5" thickBot="1">
      <c r="A8" s="63" t="s">
        <v>84</v>
      </c>
      <c r="B8" s="69">
        <f>B6*0.15</f>
        <v>13500</v>
      </c>
    </row>
    <row r="9" spans="1:2" ht="12.75">
      <c r="A9" s="70" t="s">
        <v>87</v>
      </c>
      <c r="B9" s="71">
        <f>B5*0.25</f>
        <v>30000</v>
      </c>
    </row>
    <row r="10" spans="1:2" ht="12.75">
      <c r="A10" s="61" t="s">
        <v>88</v>
      </c>
      <c r="B10" s="68">
        <f>B9*0.85</f>
        <v>25500</v>
      </c>
    </row>
    <row r="11" spans="1:2" ht="13.5" thickBot="1">
      <c r="A11" s="63" t="s">
        <v>84</v>
      </c>
      <c r="B11" s="69">
        <f>B9*0.15</f>
        <v>4500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N82"/>
  <sheetViews>
    <sheetView tabSelected="1" zoomScale="80" zoomScaleNormal="80" zoomScalePageLayoutView="0" workbookViewId="0" topLeftCell="A1">
      <selection activeCell="O35" sqref="O35"/>
    </sheetView>
  </sheetViews>
  <sheetFormatPr defaultColWidth="9.140625" defaultRowHeight="16.5" customHeight="1" outlineLevelRow="1"/>
  <cols>
    <col min="1" max="1" width="5.28125" style="119" customWidth="1"/>
    <col min="2" max="3" width="5.421875" style="119" customWidth="1"/>
    <col min="4" max="4" width="6.8515625" style="119" customWidth="1"/>
    <col min="5" max="5" width="10.57421875" style="119" customWidth="1"/>
    <col min="6" max="7" width="11.7109375" style="119" customWidth="1"/>
    <col min="8" max="8" width="14.28125" style="119" customWidth="1"/>
    <col min="9" max="9" width="20.28125" style="120" customWidth="1"/>
    <col min="10" max="10" width="14.00390625" style="119" customWidth="1"/>
    <col min="11" max="11" width="8.8515625" style="119" customWidth="1"/>
    <col min="12" max="12" width="17.421875" style="119" customWidth="1"/>
    <col min="13" max="13" width="20.7109375" style="119" customWidth="1"/>
    <col min="14" max="14" width="16.421875" style="119" customWidth="1"/>
    <col min="15" max="15" width="12.140625" style="119" customWidth="1"/>
    <col min="16" max="16" width="4.57421875" style="119" customWidth="1"/>
    <col min="17" max="17" width="4.8515625" style="119" customWidth="1"/>
    <col min="18" max="18" width="9.140625" style="121" customWidth="1"/>
    <col min="19" max="19" width="11.140625" style="121" bestFit="1" customWidth="1"/>
    <col min="20" max="20" width="12.140625" style="121" customWidth="1"/>
    <col min="21" max="39" width="9.140625" style="121" customWidth="1"/>
    <col min="40" max="66" width="9.140625" style="119" customWidth="1"/>
    <col min="67" max="16384" width="9.140625" style="123" customWidth="1"/>
  </cols>
  <sheetData>
    <row r="1" spans="1:66" s="122" customFormat="1" ht="6" customHeight="1">
      <c r="A1" s="119"/>
      <c r="B1" s="119"/>
      <c r="C1" s="119"/>
      <c r="D1" s="119"/>
      <c r="E1" s="119"/>
      <c r="F1" s="119"/>
      <c r="G1" s="119"/>
      <c r="H1" s="119"/>
      <c r="I1" s="120"/>
      <c r="J1" s="119"/>
      <c r="K1" s="119"/>
      <c r="L1" s="119"/>
      <c r="M1" s="119"/>
      <c r="N1" s="119"/>
      <c r="O1" s="119"/>
      <c r="P1" s="119"/>
      <c r="Q1" s="119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</row>
    <row r="2" ht="6" customHeight="1" thickBot="1"/>
    <row r="3" spans="3:17" ht="16.5" customHeight="1">
      <c r="C3" s="222" t="s">
        <v>68</v>
      </c>
      <c r="D3" s="223"/>
      <c r="E3" s="223"/>
      <c r="F3" s="223"/>
      <c r="G3" s="223"/>
      <c r="H3" s="229" t="s">
        <v>69</v>
      </c>
      <c r="I3" s="230"/>
      <c r="J3" s="230"/>
      <c r="K3" s="231"/>
      <c r="L3" s="124"/>
      <c r="M3" s="125"/>
      <c r="N3" s="125"/>
      <c r="O3" s="125"/>
      <c r="P3" s="76"/>
      <c r="Q3" s="77"/>
    </row>
    <row r="4" spans="3:17" ht="28.5" customHeight="1" thickBot="1">
      <c r="C4" s="224"/>
      <c r="D4" s="225"/>
      <c r="E4" s="225"/>
      <c r="F4" s="225"/>
      <c r="G4" s="225"/>
      <c r="H4" s="232"/>
      <c r="I4" s="233"/>
      <c r="J4" s="233"/>
      <c r="K4" s="234"/>
      <c r="L4" s="124"/>
      <c r="M4" s="125"/>
      <c r="N4" s="125"/>
      <c r="O4" s="125"/>
      <c r="P4" s="76"/>
      <c r="Q4" s="77"/>
    </row>
    <row r="5" spans="1:66" s="126" customFormat="1" ht="12" customHeight="1" thickBot="1">
      <c r="A5" s="121"/>
      <c r="B5" s="121"/>
      <c r="C5" s="121"/>
      <c r="D5" s="121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5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</row>
    <row r="6" spans="1:66" s="1" customFormat="1" ht="16.5" customHeight="1" thickBot="1">
      <c r="A6" s="72"/>
      <c r="B6" s="72"/>
      <c r="C6" s="244" t="s">
        <v>37</v>
      </c>
      <c r="D6" s="127"/>
      <c r="E6" s="226" t="s">
        <v>0</v>
      </c>
      <c r="F6" s="227"/>
      <c r="G6" s="228"/>
      <c r="H6" s="226" t="s">
        <v>1</v>
      </c>
      <c r="I6" s="227"/>
      <c r="J6" s="227"/>
      <c r="K6" s="228"/>
      <c r="L6" s="28" t="s">
        <v>11</v>
      </c>
      <c r="M6" s="28" t="s">
        <v>2</v>
      </c>
      <c r="N6" s="216" t="s">
        <v>54</v>
      </c>
      <c r="O6" s="217"/>
      <c r="P6" s="72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</row>
    <row r="7" spans="3:39" ht="16.5" customHeight="1" thickBot="1">
      <c r="C7" s="245"/>
      <c r="D7" s="127"/>
      <c r="E7" s="213"/>
      <c r="F7" s="214"/>
      <c r="G7" s="215"/>
      <c r="H7" s="213"/>
      <c r="I7" s="214"/>
      <c r="J7" s="214"/>
      <c r="K7" s="215"/>
      <c r="L7" s="29"/>
      <c r="M7" s="50">
        <f ca="1">IF(AND(L7&lt;&gt;"",MONTH(TODAY())&gt;MONTH(L7),DAY(TODAY()&gt;DAY(L7))),YEAR(TODAY())-YEAR(L7)+1,IF(L7&lt;&gt;"",YEAR(TODAY())-YEAR(L7),""))</f>
      </c>
      <c r="N7" s="218"/>
      <c r="O7" s="219"/>
      <c r="Q7" s="121"/>
      <c r="AM7" s="119"/>
    </row>
    <row r="8" spans="3:39" ht="16.5" customHeight="1" thickBot="1">
      <c r="C8" s="245"/>
      <c r="D8" s="127"/>
      <c r="E8" s="213"/>
      <c r="F8" s="214"/>
      <c r="G8" s="215"/>
      <c r="H8" s="213"/>
      <c r="I8" s="214"/>
      <c r="J8" s="214"/>
      <c r="K8" s="215"/>
      <c r="L8" s="30"/>
      <c r="M8" s="50">
        <f ca="1">IF(AND(L8&lt;&gt;"",MONTH(TODAY())&gt;MONTH(L8),DAY(TODAY()&gt;DAY(L8))),YEAR(TODAY())-YEAR(L8)+1,IF(L8&lt;&gt;"",YEAR(TODAY())-YEAR(L8),""))</f>
      </c>
      <c r="N8" s="220"/>
      <c r="O8" s="221"/>
      <c r="Q8" s="121"/>
      <c r="AM8" s="119"/>
    </row>
    <row r="9" spans="3:39" ht="16.5" customHeight="1" thickBot="1">
      <c r="C9" s="245"/>
      <c r="D9" s="127"/>
      <c r="E9" s="31" t="s">
        <v>41</v>
      </c>
      <c r="F9" s="213"/>
      <c r="G9" s="214"/>
      <c r="H9" s="214"/>
      <c r="I9" s="214"/>
      <c r="J9" s="214"/>
      <c r="K9" s="214"/>
      <c r="L9" s="214"/>
      <c r="M9" s="214"/>
      <c r="N9" s="214"/>
      <c r="O9" s="215"/>
      <c r="Q9" s="121"/>
      <c r="AM9" s="119"/>
    </row>
    <row r="10" spans="3:39" ht="16.5" customHeight="1" thickBot="1">
      <c r="C10" s="246"/>
      <c r="D10" s="127"/>
      <c r="E10" s="31" t="s">
        <v>42</v>
      </c>
      <c r="F10" s="213"/>
      <c r="G10" s="214"/>
      <c r="H10" s="214"/>
      <c r="I10" s="215"/>
      <c r="J10" s="31" t="s">
        <v>43</v>
      </c>
      <c r="K10" s="241"/>
      <c r="L10" s="242"/>
      <c r="M10" s="242"/>
      <c r="N10" s="242"/>
      <c r="O10" s="243"/>
      <c r="Q10" s="121"/>
      <c r="AM10" s="119"/>
    </row>
    <row r="11" spans="3:39" s="119" customFormat="1" ht="7.5" customHeight="1" thickBot="1">
      <c r="C11" s="128"/>
      <c r="E11" s="78"/>
      <c r="F11" s="78"/>
      <c r="G11" s="78"/>
      <c r="H11" s="78"/>
      <c r="I11" s="82"/>
      <c r="J11" s="83"/>
      <c r="K11" s="83"/>
      <c r="L11" s="83"/>
      <c r="M11" s="83"/>
      <c r="N11" s="84"/>
      <c r="O11" s="84"/>
      <c r="P11" s="8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</row>
    <row r="12" spans="3:16" ht="16.5" customHeight="1" thickBot="1">
      <c r="C12" s="238" t="s">
        <v>71</v>
      </c>
      <c r="E12" s="167" t="s">
        <v>55</v>
      </c>
      <c r="F12" s="168"/>
      <c r="G12" s="168"/>
      <c r="H12" s="168"/>
      <c r="I12" s="169"/>
      <c r="J12" s="235"/>
      <c r="K12" s="236"/>
      <c r="L12" s="236"/>
      <c r="M12" s="236"/>
      <c r="N12" s="236"/>
      <c r="O12" s="237"/>
      <c r="P12" s="81"/>
    </row>
    <row r="13" spans="3:16" ht="16.5" customHeight="1" thickBot="1">
      <c r="C13" s="239"/>
      <c r="E13" s="170" t="s">
        <v>56</v>
      </c>
      <c r="F13" s="78"/>
      <c r="G13" s="78"/>
      <c r="H13" s="78"/>
      <c r="I13" s="89"/>
      <c r="J13" s="52"/>
      <c r="K13" s="83"/>
      <c r="L13" s="167" t="s">
        <v>30</v>
      </c>
      <c r="M13" s="174"/>
      <c r="N13" s="175"/>
      <c r="O13" s="211"/>
      <c r="P13" s="81"/>
    </row>
    <row r="14" spans="3:16" ht="31.5" customHeight="1" thickBot="1">
      <c r="C14" s="240"/>
      <c r="E14" s="171" t="s">
        <v>57</v>
      </c>
      <c r="F14" s="172"/>
      <c r="G14" s="172"/>
      <c r="H14" s="172"/>
      <c r="I14" s="173"/>
      <c r="J14" s="53"/>
      <c r="K14" s="83"/>
      <c r="L14" s="171" t="s">
        <v>31</v>
      </c>
      <c r="M14" s="176"/>
      <c r="N14" s="177"/>
      <c r="O14" s="210"/>
      <c r="P14" s="81"/>
    </row>
    <row r="15" spans="3:16" ht="7.5" customHeight="1" thickBot="1">
      <c r="C15" s="128"/>
      <c r="E15" s="85"/>
      <c r="F15" s="78"/>
      <c r="G15" s="78"/>
      <c r="H15" s="78"/>
      <c r="I15" s="82"/>
      <c r="J15" s="32"/>
      <c r="K15" s="83"/>
      <c r="L15" s="92"/>
      <c r="M15" s="83"/>
      <c r="N15" s="84"/>
      <c r="O15" s="32"/>
      <c r="P15" s="81"/>
    </row>
    <row r="16" spans="3:16" ht="16.5" customHeight="1" thickBot="1">
      <c r="C16" s="244" t="s">
        <v>70</v>
      </c>
      <c r="D16" s="127"/>
      <c r="E16" s="167" t="s">
        <v>48</v>
      </c>
      <c r="F16" s="168"/>
      <c r="G16" s="168"/>
      <c r="H16" s="168"/>
      <c r="I16" s="192"/>
      <c r="J16" s="186"/>
      <c r="L16" s="255" t="s">
        <v>40</v>
      </c>
      <c r="M16" s="178"/>
      <c r="N16" s="179" t="s">
        <v>5</v>
      </c>
      <c r="O16" s="33">
        <v>0</v>
      </c>
      <c r="P16" s="81"/>
    </row>
    <row r="17" spans="3:16" ht="16.5" customHeight="1" thickBot="1">
      <c r="C17" s="245"/>
      <c r="D17" s="127"/>
      <c r="E17" s="185" t="s">
        <v>4</v>
      </c>
      <c r="F17" s="121"/>
      <c r="G17" s="121"/>
      <c r="H17" s="121"/>
      <c r="I17" s="193"/>
      <c r="J17" s="186"/>
      <c r="K17" s="129"/>
      <c r="L17" s="256"/>
      <c r="M17" s="180"/>
      <c r="N17" s="181" t="s">
        <v>6</v>
      </c>
      <c r="O17" s="33">
        <v>0</v>
      </c>
      <c r="P17" s="81"/>
    </row>
    <row r="18" spans="3:16" ht="16.5" customHeight="1" thickBot="1">
      <c r="C18" s="245"/>
      <c r="D18" s="127"/>
      <c r="E18" s="202" t="s">
        <v>113</v>
      </c>
      <c r="F18" s="203"/>
      <c r="G18" s="203"/>
      <c r="H18" s="203"/>
      <c r="I18" s="204"/>
      <c r="J18" s="205"/>
      <c r="K18" s="129"/>
      <c r="L18" s="256"/>
      <c r="M18" s="180"/>
      <c r="N18" s="181" t="s">
        <v>7</v>
      </c>
      <c r="O18" s="33">
        <v>0</v>
      </c>
      <c r="P18" s="81"/>
    </row>
    <row r="19" spans="3:16" ht="16.5" customHeight="1" thickBot="1">
      <c r="C19" s="245"/>
      <c r="D19" s="127"/>
      <c r="E19" s="202" t="s">
        <v>112</v>
      </c>
      <c r="F19" s="203"/>
      <c r="G19" s="203"/>
      <c r="H19" s="203"/>
      <c r="I19" s="204"/>
      <c r="J19" s="205"/>
      <c r="K19" s="129"/>
      <c r="L19" s="256"/>
      <c r="M19" s="180"/>
      <c r="N19" s="181" t="s">
        <v>8</v>
      </c>
      <c r="O19" s="33">
        <v>0</v>
      </c>
      <c r="P19" s="81"/>
    </row>
    <row r="20" spans="3:15" ht="16.5" customHeight="1" thickBot="1">
      <c r="C20" s="245"/>
      <c r="D20" s="127"/>
      <c r="E20" s="170" t="s">
        <v>49</v>
      </c>
      <c r="F20" s="78"/>
      <c r="G20" s="78"/>
      <c r="H20" s="78"/>
      <c r="I20" s="193"/>
      <c r="J20" s="187"/>
      <c r="K20" s="130"/>
      <c r="L20" s="256"/>
      <c r="M20" s="182"/>
      <c r="N20" s="181" t="s">
        <v>9</v>
      </c>
      <c r="O20" s="33">
        <v>0</v>
      </c>
    </row>
    <row r="21" spans="3:15" ht="16.5" customHeight="1" thickBot="1">
      <c r="C21" s="245"/>
      <c r="D21" s="127"/>
      <c r="E21" s="185" t="s">
        <v>4</v>
      </c>
      <c r="F21" s="78"/>
      <c r="G21" s="78"/>
      <c r="H21" s="78"/>
      <c r="I21" s="193"/>
      <c r="J21" s="187"/>
      <c r="K21" s="129"/>
      <c r="L21" s="257"/>
      <c r="M21" s="183"/>
      <c r="N21" s="184" t="s">
        <v>10</v>
      </c>
      <c r="O21" s="33">
        <v>0</v>
      </c>
    </row>
    <row r="22" spans="3:15" ht="16.5" customHeight="1" thickBot="1">
      <c r="C22" s="245"/>
      <c r="D22" s="127"/>
      <c r="E22" s="202" t="s">
        <v>113</v>
      </c>
      <c r="F22" s="206"/>
      <c r="G22" s="206"/>
      <c r="H22" s="206"/>
      <c r="I22" s="204"/>
      <c r="J22" s="207"/>
      <c r="K22" s="129"/>
      <c r="L22" s="139"/>
      <c r="M22" s="93"/>
      <c r="N22" s="94"/>
      <c r="O22" s="201"/>
    </row>
    <row r="23" spans="3:16" ht="16.5" customHeight="1" thickBot="1">
      <c r="C23" s="245"/>
      <c r="E23" s="202" t="s">
        <v>112</v>
      </c>
      <c r="F23" s="206"/>
      <c r="G23" s="206"/>
      <c r="H23" s="206"/>
      <c r="I23" s="208"/>
      <c r="J23" s="209"/>
      <c r="K23" s="129"/>
      <c r="L23" s="139"/>
      <c r="P23" s="121"/>
    </row>
    <row r="24" spans="3:12" ht="16.5" customHeight="1">
      <c r="C24" s="245"/>
      <c r="E24" s="170" t="s">
        <v>98</v>
      </c>
      <c r="F24" s="86"/>
      <c r="G24" s="86"/>
      <c r="H24" s="86"/>
      <c r="I24" s="89"/>
      <c r="J24" s="188">
        <f>SUM(J16,(J17*0.5),J20,(J21*0.5))</f>
        <v>0</v>
      </c>
      <c r="L24" s="139"/>
    </row>
    <row r="25" spans="3:28" ht="16.5" customHeight="1">
      <c r="C25" s="245"/>
      <c r="E25" s="170" t="s">
        <v>106</v>
      </c>
      <c r="F25" s="86"/>
      <c r="G25" s="86"/>
      <c r="H25" s="86"/>
      <c r="I25" s="89"/>
      <c r="J25" s="189">
        <f>IF(J16-J18*12-J19*12+0.5*J17&lt;G55,(J16-J18*12-J19*12+0.5*J17),IF(J16-J18*12-J19*12&lt;F55,((J16-J18*12-J19*12+(0.5*J17)-G55)*(1-I55)+G55-(K55*(J16-J18*12-J19*12+(0.5*J17)-L55))),(((J16-J18*12-J19*12+(0.5*J17)-F55)*(1-J55))+((F55-G55)*(1-I55))+G55-(K55*(F55-L55))-(M55*(J16-J18*12-J19*12+(0.5*J17)-F55)))))+IF(J20-J22*12-J23*12+0.5*J21&lt;G55,(J20-J22*12-J23*12+0.5*J21),IF(J20-J22*12-J23*12&lt;F55,((J20-J22*12-J23*12+(0.5*J21)-G55)*(1-I55)+G55-(K55*(J20-J22*12-J23*12+(0.5*J21)-L55))),(((J20-J22*12-J23*12+(0.5*J21)-F55)*(1-J55))+((F55-G55)*(1-I55))+G55-(K55*(F55-L55))-(M55*(J20-J22*12-J23*12+(0.5*J21)-F55)))))</f>
        <v>0</v>
      </c>
      <c r="L25" s="131"/>
      <c r="O25" s="97"/>
      <c r="S25" s="132"/>
      <c r="T25" s="132"/>
      <c r="U25" s="133"/>
      <c r="V25" s="133"/>
      <c r="W25" s="156"/>
      <c r="Y25" s="133"/>
      <c r="AA25" s="133"/>
      <c r="AB25" s="133"/>
    </row>
    <row r="26" spans="3:28" ht="16.5" customHeight="1">
      <c r="C26" s="245"/>
      <c r="E26" s="170" t="s">
        <v>107</v>
      </c>
      <c r="F26" s="86"/>
      <c r="G26" s="86"/>
      <c r="H26" s="86"/>
      <c r="I26" s="89"/>
      <c r="J26" s="190">
        <f>12*(O16+O19+O20+O21)</f>
        <v>0</v>
      </c>
      <c r="L26" s="131"/>
      <c r="O26" s="97"/>
      <c r="S26" s="132"/>
      <c r="T26" s="132"/>
      <c r="U26" s="133"/>
      <c r="V26" s="133"/>
      <c r="W26" s="156"/>
      <c r="Y26" s="133"/>
      <c r="AA26" s="133"/>
      <c r="AB26" s="133"/>
    </row>
    <row r="27" spans="3:28" ht="16.5" customHeight="1" thickBot="1">
      <c r="C27" s="246"/>
      <c r="E27" s="171" t="s">
        <v>108</v>
      </c>
      <c r="F27" s="194"/>
      <c r="G27" s="194"/>
      <c r="H27" s="194"/>
      <c r="I27" s="173"/>
      <c r="J27" s="191">
        <f>J26+J25</f>
        <v>0</v>
      </c>
      <c r="L27" s="134"/>
      <c r="O27" s="97"/>
      <c r="S27" s="132"/>
      <c r="T27" s="132"/>
      <c r="U27" s="133"/>
      <c r="V27" s="133"/>
      <c r="W27" s="156"/>
      <c r="Y27" s="133"/>
      <c r="AA27" s="133"/>
      <c r="AB27" s="133"/>
    </row>
    <row r="28" spans="3:28" ht="9" customHeight="1" thickBot="1">
      <c r="C28" s="128"/>
      <c r="E28" s="85"/>
      <c r="F28" s="86"/>
      <c r="G28" s="86"/>
      <c r="H28" s="86"/>
      <c r="I28" s="82"/>
      <c r="J28" s="35"/>
      <c r="L28" s="131"/>
      <c r="O28" s="97"/>
      <c r="S28" s="132"/>
      <c r="T28" s="132"/>
      <c r="U28" s="133"/>
      <c r="V28" s="133"/>
      <c r="W28" s="156"/>
      <c r="Y28" s="133"/>
      <c r="AA28" s="133"/>
      <c r="AB28" s="133"/>
    </row>
    <row r="29" spans="3:28" ht="16.5" customHeight="1" thickBot="1">
      <c r="C29" s="244" t="s">
        <v>38</v>
      </c>
      <c r="E29" s="167" t="s">
        <v>35</v>
      </c>
      <c r="F29" s="195"/>
      <c r="G29" s="195"/>
      <c r="H29" s="195"/>
      <c r="I29" s="196"/>
      <c r="J29" s="34">
        <v>0</v>
      </c>
      <c r="L29" s="95"/>
      <c r="M29" s="80"/>
      <c r="N29" s="80"/>
      <c r="O29" s="212"/>
      <c r="Y29" s="133"/>
      <c r="AA29" s="133"/>
      <c r="AB29" s="133"/>
    </row>
    <row r="30" spans="3:28" ht="25.5" customHeight="1" thickBot="1">
      <c r="C30" s="246"/>
      <c r="E30" s="171" t="s">
        <v>36</v>
      </c>
      <c r="F30" s="194"/>
      <c r="G30" s="194"/>
      <c r="H30" s="194"/>
      <c r="I30" s="197"/>
      <c r="J30" s="34">
        <v>0</v>
      </c>
      <c r="K30" s="135"/>
      <c r="L30" s="96"/>
      <c r="N30" s="121"/>
      <c r="O30" s="98"/>
      <c r="Y30" s="133"/>
      <c r="AA30" s="133"/>
      <c r="AB30" s="133"/>
    </row>
    <row r="31" spans="3:28" ht="6.75" customHeight="1" thickBot="1">
      <c r="C31" s="136"/>
      <c r="E31" s="131"/>
      <c r="J31" s="137"/>
      <c r="L31" s="96"/>
      <c r="M31" s="80"/>
      <c r="N31" s="121"/>
      <c r="O31" s="99"/>
      <c r="Q31" s="121"/>
      <c r="S31" s="132"/>
      <c r="T31" s="132"/>
      <c r="U31" s="133"/>
      <c r="V31" s="133"/>
      <c r="W31" s="156"/>
      <c r="Y31" s="133"/>
      <c r="AA31" s="133"/>
      <c r="AB31" s="133"/>
    </row>
    <row r="32" spans="3:28" ht="19.5" customHeight="1" thickBot="1">
      <c r="C32" s="238" t="s">
        <v>39</v>
      </c>
      <c r="E32" s="167" t="s">
        <v>91</v>
      </c>
      <c r="F32" s="195"/>
      <c r="G32" s="195"/>
      <c r="H32" s="195"/>
      <c r="I32" s="198"/>
      <c r="J32" s="36">
        <f>J27-((J29*12)+(0.36*J30))</f>
        <v>0</v>
      </c>
      <c r="L32" s="167" t="e">
        <f>"Lender deposit requirements (£"&amp;O32*E40&amp;")"</f>
        <v>#VALUE!</v>
      </c>
      <c r="M32" s="199"/>
      <c r="N32" s="199"/>
      <c r="O32" s="54">
        <v>0.05</v>
      </c>
      <c r="Q32" s="79"/>
      <c r="S32" s="132"/>
      <c r="T32" s="132"/>
      <c r="U32" s="133"/>
      <c r="V32" s="133"/>
      <c r="W32" s="156"/>
      <c r="Y32" s="133"/>
      <c r="AA32" s="133"/>
      <c r="AB32" s="133"/>
    </row>
    <row r="33" spans="3:28" ht="19.5" customHeight="1" thickBot="1">
      <c r="C33" s="239"/>
      <c r="E33" s="170" t="s">
        <v>110</v>
      </c>
      <c r="F33" s="87"/>
      <c r="G33" s="87"/>
      <c r="H33" s="87"/>
      <c r="I33" s="88"/>
      <c r="J33" s="37">
        <v>4.5</v>
      </c>
      <c r="L33" s="170" t="s">
        <v>58</v>
      </c>
      <c r="M33" s="87"/>
      <c r="N33" s="121"/>
      <c r="O33" s="33"/>
      <c r="Q33" s="79"/>
      <c r="S33" s="132"/>
      <c r="T33" s="132"/>
      <c r="U33" s="133"/>
      <c r="V33" s="133"/>
      <c r="W33" s="156"/>
      <c r="Y33" s="133"/>
      <c r="AA33" s="133"/>
      <c r="AB33" s="133"/>
    </row>
    <row r="34" spans="3:17" ht="19.5" customHeight="1" thickBot="1">
      <c r="C34" s="239"/>
      <c r="E34" s="170" t="s">
        <v>109</v>
      </c>
      <c r="F34" s="78"/>
      <c r="G34" s="78"/>
      <c r="H34" s="78"/>
      <c r="I34" s="89"/>
      <c r="J34" s="36">
        <f>J24*J33</f>
        <v>0</v>
      </c>
      <c r="L34" s="170" t="s">
        <v>111</v>
      </c>
      <c r="M34" s="86"/>
      <c r="N34" s="121"/>
      <c r="O34" s="36">
        <f>J34+O33</f>
        <v>0</v>
      </c>
      <c r="Q34" s="80"/>
    </row>
    <row r="35" spans="3:17" ht="19.5" customHeight="1" thickBot="1">
      <c r="C35" s="240"/>
      <c r="E35" s="171" t="str">
        <f>"Mortgage term required (max "&amp;F51&amp;"):"</f>
        <v>Mortgage term required (max 40):</v>
      </c>
      <c r="F35" s="172"/>
      <c r="G35" s="172"/>
      <c r="H35" s="172"/>
      <c r="I35" s="173"/>
      <c r="J35" s="38">
        <v>25</v>
      </c>
      <c r="L35" s="171" t="s">
        <v>3</v>
      </c>
      <c r="M35" s="172"/>
      <c r="N35" s="200"/>
      <c r="O35" s="39">
        <v>0.065</v>
      </c>
      <c r="Q35" s="80"/>
    </row>
    <row r="36" spans="3:39" s="119" customFormat="1" ht="12" customHeight="1">
      <c r="C36" s="138"/>
      <c r="I36" s="120"/>
      <c r="J36" s="73"/>
      <c r="L36" s="90"/>
      <c r="M36" s="90"/>
      <c r="N36" s="90"/>
      <c r="O36" s="91"/>
      <c r="Q36" s="80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</row>
    <row r="37" spans="3:39" s="119" customFormat="1" ht="16.5" customHeight="1">
      <c r="C37" s="140">
        <f>IF('check share levels'!B47&gt;0,'check share levels'!B47,"ZERO")</f>
        <v>1</v>
      </c>
      <c r="I37" s="120"/>
      <c r="J37" s="73"/>
      <c r="L37" s="90"/>
      <c r="M37" s="90"/>
      <c r="N37" s="90"/>
      <c r="O37" s="90"/>
      <c r="Q37" s="80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</row>
    <row r="38" spans="9:39" s="119" customFormat="1" ht="6" customHeight="1" thickBot="1">
      <c r="I38" s="87"/>
      <c r="J38" s="121"/>
      <c r="L38" s="90"/>
      <c r="M38" s="90"/>
      <c r="N38" s="90"/>
      <c r="O38" s="90"/>
      <c r="Q38" s="80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</row>
    <row r="39" spans="3:15" ht="52.5">
      <c r="C39" s="251" t="s">
        <v>59</v>
      </c>
      <c r="D39" s="252"/>
      <c r="E39" s="100" t="s">
        <v>47</v>
      </c>
      <c r="F39" s="100" t="s">
        <v>60</v>
      </c>
      <c r="G39" s="100" t="s">
        <v>24</v>
      </c>
      <c r="H39" s="100" t="s">
        <v>23</v>
      </c>
      <c r="I39" s="101" t="s">
        <v>13</v>
      </c>
      <c r="J39" s="102" t="s">
        <v>25</v>
      </c>
      <c r="K39" s="102" t="s">
        <v>26</v>
      </c>
      <c r="L39" s="103" t="s">
        <v>27</v>
      </c>
      <c r="M39" s="103" t="s">
        <v>28</v>
      </c>
      <c r="N39" s="104" t="s">
        <v>93</v>
      </c>
      <c r="O39" s="105" t="s">
        <v>12</v>
      </c>
    </row>
    <row r="40" spans="3:15" ht="42" customHeight="1" thickBot="1">
      <c r="C40" s="253" t="str">
        <f>F46</f>
        <v>ZERO</v>
      </c>
      <c r="D40" s="254"/>
      <c r="E40" s="40" t="e">
        <f>J13*C40</f>
        <v>#VALUE!</v>
      </c>
      <c r="F40" s="40">
        <f>O33</f>
        <v>0</v>
      </c>
      <c r="G40" s="40" t="e">
        <f>IF(F40&gt;=(E40*O32),"YES","NO")</f>
        <v>#VALUE!</v>
      </c>
      <c r="H40" s="106" t="e">
        <f>(IF(SUM(E40-F40)&gt;0,SUM(E40-F40),"Minimum share unaffordable"))</f>
        <v>#VALUE!</v>
      </c>
      <c r="I40" s="41" t="e">
        <f>H40/J32</f>
        <v>#VALUE!</v>
      </c>
      <c r="J40" s="42" t="e">
        <f>-PMT(O35/12,J35*12,H40)</f>
        <v>#VALUE!</v>
      </c>
      <c r="K40" s="40" t="e">
        <f>((J13-E40)*O13)/12</f>
        <v>#VALUE!</v>
      </c>
      <c r="L40" s="42">
        <f>O14/12</f>
        <v>0</v>
      </c>
      <c r="M40" s="42" t="e">
        <f>SUM(J40:L40)</f>
        <v>#VALUE!</v>
      </c>
      <c r="N40" s="118">
        <f>IF(J24&gt;0,(M40*12)/J32,0)</f>
        <v>0</v>
      </c>
      <c r="O40" s="43">
        <f>J35</f>
        <v>25</v>
      </c>
    </row>
    <row r="41" spans="3:39" s="119" customFormat="1" ht="6" customHeight="1">
      <c r="C41" s="138"/>
      <c r="E41" s="78"/>
      <c r="F41" s="78"/>
      <c r="G41" s="78"/>
      <c r="H41" s="78"/>
      <c r="I41" s="82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</row>
    <row r="42" spans="3:17" ht="11.25" customHeight="1">
      <c r="C42" s="138"/>
      <c r="Q42" s="121"/>
    </row>
    <row r="43" spans="3:17" ht="11.25" customHeight="1">
      <c r="C43" s="138"/>
      <c r="Q43" s="121"/>
    </row>
    <row r="44" spans="1:66" s="122" customFormat="1" ht="16.5" customHeight="1" hidden="1" outlineLevel="1">
      <c r="A44" s="119"/>
      <c r="B44" s="142" t="s">
        <v>32</v>
      </c>
      <c r="C44" s="119"/>
      <c r="D44" s="119"/>
      <c r="E44" s="119"/>
      <c r="F44" s="143"/>
      <c r="G44" s="119"/>
      <c r="H44" s="119"/>
      <c r="I44" s="120"/>
      <c r="J44" s="119"/>
      <c r="K44" s="141"/>
      <c r="L44" s="139"/>
      <c r="M44" s="139"/>
      <c r="N44" s="139"/>
      <c r="O44" s="139"/>
      <c r="P44" s="139"/>
      <c r="Q44" s="125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</row>
    <row r="45" spans="1:66" s="122" customFormat="1" ht="16.5" customHeight="1" hidden="1" outlineLevel="1">
      <c r="A45" s="119"/>
      <c r="B45" s="85" t="s">
        <v>46</v>
      </c>
      <c r="C45" s="119"/>
      <c r="D45" s="119"/>
      <c r="E45" s="119"/>
      <c r="F45" s="79"/>
      <c r="G45" s="119"/>
      <c r="H45" s="119"/>
      <c r="I45" s="120"/>
      <c r="J45" s="119"/>
      <c r="K45" s="141"/>
      <c r="L45" s="144"/>
      <c r="M45" s="144"/>
      <c r="N45" s="144"/>
      <c r="O45" s="144"/>
      <c r="P45" s="119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</row>
    <row r="46" spans="1:66" s="122" customFormat="1" ht="16.5" customHeight="1" hidden="1" outlineLevel="1">
      <c r="A46" s="119"/>
      <c r="B46" s="85" t="s">
        <v>66</v>
      </c>
      <c r="C46" s="119"/>
      <c r="D46" s="119"/>
      <c r="E46" s="119"/>
      <c r="F46" s="140" t="str">
        <f>IF('check share levels'!E56&gt;0,'check share levels'!E56,"ZERO")</f>
        <v>ZERO</v>
      </c>
      <c r="G46" s="145"/>
      <c r="H46" s="119"/>
      <c r="I46" s="120"/>
      <c r="J46" s="119"/>
      <c r="K46" s="133"/>
      <c r="L46" s="140"/>
      <c r="M46" s="119"/>
      <c r="N46" s="119"/>
      <c r="O46" s="119"/>
      <c r="P46" s="119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</row>
    <row r="47" spans="1:66" s="122" customFormat="1" ht="16.5" customHeight="1" hidden="1" outlineLevel="1">
      <c r="A47" s="119"/>
      <c r="B47" s="85"/>
      <c r="C47" s="119"/>
      <c r="D47" s="119"/>
      <c r="E47" s="119"/>
      <c r="F47" s="146"/>
      <c r="G47" s="119"/>
      <c r="H47" s="119"/>
      <c r="I47" s="120"/>
      <c r="J47" s="119"/>
      <c r="K47" s="119"/>
      <c r="L47" s="119"/>
      <c r="M47" s="119"/>
      <c r="N47" s="147"/>
      <c r="O47" s="119"/>
      <c r="P47" s="119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</row>
    <row r="48" spans="1:66" s="122" customFormat="1" ht="16.5" customHeight="1" hidden="1" outlineLevel="1">
      <c r="A48" s="119"/>
      <c r="B48" s="85" t="s">
        <v>50</v>
      </c>
      <c r="C48" s="119"/>
      <c r="D48" s="119"/>
      <c r="E48" s="119"/>
      <c r="F48" s="148">
        <f>IF(Headline!M7="",0,Headline!M7)</f>
        <v>0</v>
      </c>
      <c r="G48" s="119"/>
      <c r="H48" s="119"/>
      <c r="I48" s="120"/>
      <c r="J48" s="119"/>
      <c r="K48" s="119"/>
      <c r="L48" s="119"/>
      <c r="M48" s="119"/>
      <c r="N48" s="119"/>
      <c r="O48" s="119"/>
      <c r="P48" s="119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</row>
    <row r="49" spans="2:17" ht="16.5" customHeight="1" hidden="1" outlineLevel="1">
      <c r="B49" s="72" t="s">
        <v>51</v>
      </c>
      <c r="D49" s="72"/>
      <c r="E49" s="72"/>
      <c r="F49" s="148">
        <f>IF(Headline!M8="",0,Headline!M8)</f>
        <v>0</v>
      </c>
      <c r="G49" s="72"/>
      <c r="Q49" s="121"/>
    </row>
    <row r="50" spans="2:17" ht="16.5" customHeight="1" hidden="1" outlineLevel="1">
      <c r="B50" s="72" t="s">
        <v>15</v>
      </c>
      <c r="F50" s="79">
        <f>IF(F48&gt;F49,F48,F49)</f>
        <v>0</v>
      </c>
      <c r="Q50" s="121"/>
    </row>
    <row r="51" spans="2:17" ht="16.5" customHeight="1" hidden="1" outlineLevel="1">
      <c r="B51" s="72" t="s">
        <v>16</v>
      </c>
      <c r="F51" s="79">
        <f>IF(65-F50&gt;40,40,75-F50)</f>
        <v>40</v>
      </c>
      <c r="P51" s="121"/>
      <c r="Q51" s="121"/>
    </row>
    <row r="52" spans="2:17" ht="16.5" customHeight="1" hidden="1" outlineLevel="1">
      <c r="B52" s="72" t="s">
        <v>52</v>
      </c>
      <c r="E52" s="149"/>
      <c r="F52" s="150">
        <f>Headline!J29+(Headline!J30*0.03)</f>
        <v>0</v>
      </c>
      <c r="G52" s="149"/>
      <c r="H52" s="149"/>
      <c r="P52" s="121"/>
      <c r="Q52" s="151"/>
    </row>
    <row r="53" spans="2:17" ht="16.5" customHeight="1" hidden="1" outlineLevel="1">
      <c r="B53" s="72" t="s">
        <v>53</v>
      </c>
      <c r="E53" s="149"/>
      <c r="F53" s="150">
        <f>Headline!O16+Headline!O19+Headline!O20+Headline!O21</f>
        <v>0</v>
      </c>
      <c r="G53" s="149"/>
      <c r="H53" s="149"/>
      <c r="K53" s="72"/>
      <c r="Q53" s="121"/>
    </row>
    <row r="54" spans="2:17" ht="16.5" customHeight="1" hidden="1" outlineLevel="1">
      <c r="B54" s="119" t="s">
        <v>99</v>
      </c>
      <c r="F54" s="120" t="s">
        <v>100</v>
      </c>
      <c r="G54" s="120" t="s">
        <v>101</v>
      </c>
      <c r="H54" s="120" t="s">
        <v>102</v>
      </c>
      <c r="I54" s="120" t="s">
        <v>102</v>
      </c>
      <c r="J54" s="120" t="s">
        <v>100</v>
      </c>
      <c r="K54" s="120" t="s">
        <v>103</v>
      </c>
      <c r="L54" s="120" t="s">
        <v>104</v>
      </c>
      <c r="M54" s="120" t="s">
        <v>105</v>
      </c>
      <c r="N54" s="108"/>
      <c r="O54" s="108"/>
      <c r="P54" s="121"/>
      <c r="Q54" s="121"/>
    </row>
    <row r="55" spans="1:17" ht="16.5" customHeight="1" hidden="1" outlineLevel="1">
      <c r="A55" s="72"/>
      <c r="E55" s="121"/>
      <c r="F55" s="119">
        <f>G55+H55</f>
        <v>42385</v>
      </c>
      <c r="G55" s="119">
        <v>10600</v>
      </c>
      <c r="H55" s="119">
        <v>31785</v>
      </c>
      <c r="I55" s="149">
        <v>0.2</v>
      </c>
      <c r="J55" s="152">
        <v>0.4</v>
      </c>
      <c r="K55" s="152">
        <v>0.12</v>
      </c>
      <c r="L55" s="119">
        <v>7750</v>
      </c>
      <c r="M55" s="152">
        <v>0.02</v>
      </c>
      <c r="N55" s="109"/>
      <c r="O55" s="109"/>
      <c r="P55" s="121"/>
      <c r="Q55" s="121"/>
    </row>
    <row r="56" spans="1:23" ht="16.5" customHeight="1" collapsed="1">
      <c r="A56" s="72"/>
      <c r="E56" s="121"/>
      <c r="F56" s="121"/>
      <c r="G56" s="121"/>
      <c r="H56" s="121"/>
      <c r="I56" s="119"/>
      <c r="L56" s="109"/>
      <c r="M56" s="109"/>
      <c r="N56" s="109"/>
      <c r="O56" s="109"/>
      <c r="Q56" s="110"/>
      <c r="R56" s="107"/>
      <c r="S56" s="80"/>
      <c r="T56" s="80"/>
      <c r="U56" s="80"/>
      <c r="V56" s="80"/>
      <c r="W56" s="80"/>
    </row>
    <row r="57" spans="1:18" ht="16.5" customHeight="1">
      <c r="A57" s="72"/>
      <c r="E57" s="78"/>
      <c r="F57" s="78"/>
      <c r="G57" s="78"/>
      <c r="H57" s="78"/>
      <c r="I57" s="82"/>
      <c r="J57" s="153"/>
      <c r="L57" s="109"/>
      <c r="M57" s="109"/>
      <c r="N57" s="111"/>
      <c r="O57" s="111"/>
      <c r="Q57" s="121"/>
      <c r="R57" s="80"/>
    </row>
    <row r="58" spans="1:18" ht="16.5" customHeight="1">
      <c r="A58" s="72"/>
      <c r="J58" s="121"/>
      <c r="L58" s="111"/>
      <c r="M58" s="111"/>
      <c r="N58" s="112"/>
      <c r="O58" s="112"/>
      <c r="R58" s="80"/>
    </row>
    <row r="59" spans="1:18" ht="16.5" customHeight="1">
      <c r="A59" s="72"/>
      <c r="I59" s="119"/>
      <c r="J59" s="121"/>
      <c r="K59" s="108"/>
      <c r="L59" s="109"/>
      <c r="M59" s="109"/>
      <c r="N59" s="109"/>
      <c r="O59" s="109"/>
      <c r="R59" s="80"/>
    </row>
    <row r="60" spans="1:23" ht="16.5" customHeight="1">
      <c r="A60" s="72"/>
      <c r="I60" s="119"/>
      <c r="J60" s="121"/>
      <c r="K60" s="109"/>
      <c r="L60" s="112"/>
      <c r="M60" s="112"/>
      <c r="N60" s="112"/>
      <c r="O60" s="112"/>
      <c r="R60" s="107"/>
      <c r="S60" s="80"/>
      <c r="T60" s="80"/>
      <c r="U60" s="80"/>
      <c r="V60" s="80"/>
      <c r="W60" s="80"/>
    </row>
    <row r="61" spans="1:23" ht="16.5" customHeight="1">
      <c r="A61" s="72"/>
      <c r="I61" s="119"/>
      <c r="J61" s="121"/>
      <c r="K61" s="109"/>
      <c r="L61" s="112"/>
      <c r="M61" s="112"/>
      <c r="N61" s="112"/>
      <c r="O61" s="112"/>
      <c r="P61" s="72"/>
      <c r="R61" s="113"/>
      <c r="U61" s="78"/>
      <c r="W61" s="114"/>
    </row>
    <row r="62" spans="1:23" ht="16.5" customHeight="1">
      <c r="A62" s="72"/>
      <c r="B62" s="72"/>
      <c r="C62" s="72"/>
      <c r="D62" s="72"/>
      <c r="I62" s="119"/>
      <c r="J62" s="121"/>
      <c r="K62" s="111"/>
      <c r="L62" s="112"/>
      <c r="M62" s="112"/>
      <c r="N62" s="112"/>
      <c r="O62" s="112"/>
      <c r="P62" s="72"/>
      <c r="R62" s="113"/>
      <c r="U62" s="78"/>
      <c r="W62" s="114"/>
    </row>
    <row r="63" spans="1:23" ht="16.5" customHeight="1">
      <c r="A63" s="72"/>
      <c r="B63" s="72"/>
      <c r="C63" s="72"/>
      <c r="D63" s="72"/>
      <c r="I63" s="119"/>
      <c r="J63" s="121"/>
      <c r="K63" s="112"/>
      <c r="L63" s="112"/>
      <c r="M63" s="112"/>
      <c r="N63" s="112"/>
      <c r="O63" s="112"/>
      <c r="P63" s="72"/>
      <c r="R63" s="249"/>
      <c r="S63" s="249"/>
      <c r="T63" s="249"/>
      <c r="U63" s="249"/>
      <c r="V63" s="249"/>
      <c r="W63" s="249"/>
    </row>
    <row r="64" spans="1:23" ht="16.5" customHeight="1">
      <c r="A64" s="72"/>
      <c r="B64" s="72"/>
      <c r="C64" s="72"/>
      <c r="D64" s="72"/>
      <c r="I64" s="119"/>
      <c r="J64" s="121"/>
      <c r="K64" s="109"/>
      <c r="L64" s="121"/>
      <c r="M64" s="121"/>
      <c r="N64" s="121"/>
      <c r="O64" s="121"/>
      <c r="P64" s="72"/>
      <c r="R64" s="249"/>
      <c r="S64" s="249"/>
      <c r="T64" s="249"/>
      <c r="U64" s="249"/>
      <c r="V64" s="249"/>
      <c r="W64" s="249"/>
    </row>
    <row r="65" spans="2:23" ht="16.5" customHeight="1">
      <c r="B65" s="72"/>
      <c r="C65" s="72"/>
      <c r="D65" s="72"/>
      <c r="I65" s="119"/>
      <c r="J65" s="121"/>
      <c r="K65" s="112"/>
      <c r="L65" s="154"/>
      <c r="M65" s="154"/>
      <c r="N65" s="154"/>
      <c r="O65" s="154"/>
      <c r="P65" s="72"/>
      <c r="R65" s="249"/>
      <c r="S65" s="249"/>
      <c r="T65" s="249"/>
      <c r="U65" s="249"/>
      <c r="V65" s="249"/>
      <c r="W65" s="249"/>
    </row>
    <row r="66" spans="2:23" ht="16.5" customHeight="1">
      <c r="B66" s="72"/>
      <c r="C66" s="72"/>
      <c r="D66" s="72"/>
      <c r="I66" s="119"/>
      <c r="J66" s="121"/>
      <c r="K66" s="112"/>
      <c r="L66" s="154"/>
      <c r="M66" s="154"/>
      <c r="N66" s="154"/>
      <c r="O66" s="154"/>
      <c r="P66" s="72"/>
      <c r="R66" s="249"/>
      <c r="S66" s="249"/>
      <c r="T66" s="249"/>
      <c r="U66" s="249"/>
      <c r="V66" s="249"/>
      <c r="W66" s="249"/>
    </row>
    <row r="67" spans="1:66" s="2" customFormat="1" ht="16.5" customHeight="1">
      <c r="A67" s="119"/>
      <c r="B67" s="72"/>
      <c r="C67" s="72"/>
      <c r="D67" s="72"/>
      <c r="E67" s="119"/>
      <c r="F67" s="119"/>
      <c r="G67" s="119"/>
      <c r="H67" s="119"/>
      <c r="I67" s="119"/>
      <c r="J67" s="121"/>
      <c r="K67" s="112"/>
      <c r="L67" s="119"/>
      <c r="M67" s="119"/>
      <c r="N67" s="119"/>
      <c r="O67" s="119"/>
      <c r="P67" s="72"/>
      <c r="Q67" s="72"/>
      <c r="R67" s="249"/>
      <c r="S67" s="249"/>
      <c r="T67" s="249"/>
      <c r="U67" s="249"/>
      <c r="V67" s="249"/>
      <c r="W67" s="249"/>
      <c r="X67" s="121"/>
      <c r="Y67" s="121"/>
      <c r="Z67" s="121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</row>
    <row r="68" spans="1:66" s="2" customFormat="1" ht="16.5" customHeight="1">
      <c r="A68" s="119"/>
      <c r="B68" s="72"/>
      <c r="C68" s="72"/>
      <c r="D68" s="72"/>
      <c r="E68" s="119"/>
      <c r="F68" s="119"/>
      <c r="G68" s="119"/>
      <c r="H68" s="119"/>
      <c r="I68" s="119"/>
      <c r="J68" s="119"/>
      <c r="K68" s="112"/>
      <c r="L68" s="119"/>
      <c r="M68" s="119"/>
      <c r="N68" s="119"/>
      <c r="O68" s="119"/>
      <c r="P68" s="72"/>
      <c r="Q68" s="72"/>
      <c r="R68" s="249"/>
      <c r="S68" s="249"/>
      <c r="T68" s="249"/>
      <c r="U68" s="249"/>
      <c r="V68" s="249"/>
      <c r="W68" s="249"/>
      <c r="X68" s="121"/>
      <c r="Y68" s="121"/>
      <c r="Z68" s="121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</row>
    <row r="69" spans="1:66" s="2" customFormat="1" ht="16.5" customHeight="1">
      <c r="A69" s="119"/>
      <c r="B69" s="72"/>
      <c r="C69" s="72"/>
      <c r="D69" s="72"/>
      <c r="E69" s="119"/>
      <c r="F69" s="119"/>
      <c r="G69" s="119"/>
      <c r="H69" s="119"/>
      <c r="I69" s="119"/>
      <c r="J69" s="119"/>
      <c r="K69" s="121"/>
      <c r="L69" s="119"/>
      <c r="M69" s="119"/>
      <c r="N69" s="119"/>
      <c r="O69" s="119"/>
      <c r="P69" s="72"/>
      <c r="Q69" s="72"/>
      <c r="R69" s="249"/>
      <c r="S69" s="249"/>
      <c r="T69" s="249"/>
      <c r="U69" s="249"/>
      <c r="V69" s="249"/>
      <c r="W69" s="249"/>
      <c r="X69" s="121"/>
      <c r="Y69" s="121"/>
      <c r="Z69" s="121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</row>
    <row r="70" spans="1:66" s="2" customFormat="1" ht="16.5" customHeight="1">
      <c r="A70" s="119"/>
      <c r="B70" s="72"/>
      <c r="C70" s="72"/>
      <c r="D70" s="72"/>
      <c r="E70" s="119"/>
      <c r="F70" s="119"/>
      <c r="G70" s="119"/>
      <c r="H70" s="119"/>
      <c r="I70" s="119"/>
      <c r="J70" s="119"/>
      <c r="K70" s="154"/>
      <c r="L70" s="155"/>
      <c r="M70" s="155"/>
      <c r="N70" s="155"/>
      <c r="O70" s="155"/>
      <c r="P70" s="72"/>
      <c r="Q70" s="72"/>
      <c r="R70" s="121"/>
      <c r="S70" s="121"/>
      <c r="T70" s="121"/>
      <c r="U70" s="121"/>
      <c r="V70" s="121"/>
      <c r="W70" s="121"/>
      <c r="X70" s="121"/>
      <c r="Y70" s="121"/>
      <c r="Z70" s="121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</row>
    <row r="71" spans="1:66" s="2" customFormat="1" ht="16.5" customHeight="1">
      <c r="A71" s="119"/>
      <c r="B71" s="72"/>
      <c r="C71" s="72"/>
      <c r="D71" s="72"/>
      <c r="E71" s="78"/>
      <c r="F71" s="78"/>
      <c r="G71" s="78"/>
      <c r="H71" s="78"/>
      <c r="I71" s="82"/>
      <c r="J71" s="119"/>
      <c r="K71" s="154"/>
      <c r="L71" s="119"/>
      <c r="M71" s="119"/>
      <c r="N71" s="119"/>
      <c r="O71" s="119"/>
      <c r="P71" s="119"/>
      <c r="Q71" s="72"/>
      <c r="R71" s="121"/>
      <c r="S71" s="121"/>
      <c r="T71" s="121"/>
      <c r="U71" s="121"/>
      <c r="V71" s="121"/>
      <c r="W71" s="121"/>
      <c r="X71" s="121"/>
      <c r="Y71" s="121"/>
      <c r="Z71" s="121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</row>
    <row r="72" spans="1:66" s="2" customFormat="1" ht="16.5" customHeight="1">
      <c r="A72" s="119"/>
      <c r="B72" s="72"/>
      <c r="C72" s="72"/>
      <c r="D72" s="72"/>
      <c r="E72" s="119"/>
      <c r="F72" s="119"/>
      <c r="G72" s="119"/>
      <c r="H72" s="119"/>
      <c r="I72" s="120"/>
      <c r="J72" s="119"/>
      <c r="K72" s="119"/>
      <c r="L72" s="119"/>
      <c r="M72" s="119"/>
      <c r="N72" s="119"/>
      <c r="O72" s="119"/>
      <c r="P72" s="115"/>
      <c r="Q72" s="72"/>
      <c r="R72" s="250"/>
      <c r="S72" s="250"/>
      <c r="T72" s="250"/>
      <c r="U72" s="250"/>
      <c r="V72" s="250"/>
      <c r="W72" s="250"/>
      <c r="X72" s="250"/>
      <c r="Y72" s="248"/>
      <c r="Z72" s="247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</row>
    <row r="73" spans="2:26" ht="16.5" customHeight="1">
      <c r="B73" s="72"/>
      <c r="C73" s="72"/>
      <c r="D73" s="72"/>
      <c r="P73" s="116"/>
      <c r="R73" s="250"/>
      <c r="S73" s="250"/>
      <c r="T73" s="250"/>
      <c r="U73" s="250"/>
      <c r="V73" s="250"/>
      <c r="W73" s="250"/>
      <c r="X73" s="250"/>
      <c r="Y73" s="248"/>
      <c r="Z73" s="247"/>
    </row>
    <row r="74" spans="2:26" ht="16.5" customHeight="1">
      <c r="B74" s="72"/>
      <c r="C74" s="72"/>
      <c r="D74" s="72"/>
      <c r="P74" s="116"/>
      <c r="Q74" s="132"/>
      <c r="R74" s="250"/>
      <c r="S74" s="250"/>
      <c r="T74" s="250"/>
      <c r="U74" s="250"/>
      <c r="V74" s="250"/>
      <c r="W74" s="250"/>
      <c r="X74" s="250"/>
      <c r="Y74" s="248"/>
      <c r="Z74" s="247"/>
    </row>
    <row r="75" spans="2:17" ht="16.5" customHeight="1">
      <c r="B75" s="72"/>
      <c r="C75" s="72"/>
      <c r="D75" s="72"/>
      <c r="J75" s="155"/>
      <c r="K75" s="155"/>
      <c r="P75" s="116"/>
      <c r="Q75" s="133"/>
    </row>
    <row r="76" spans="16:17" ht="16.5" customHeight="1">
      <c r="P76" s="116"/>
      <c r="Q76" s="121"/>
    </row>
    <row r="77" spans="16:23" ht="16.5" customHeight="1">
      <c r="P77" s="116"/>
      <c r="Q77" s="121"/>
      <c r="T77" s="156"/>
      <c r="U77" s="156"/>
      <c r="V77" s="156"/>
      <c r="W77" s="156"/>
    </row>
    <row r="78" spans="16:23" ht="16.5" customHeight="1">
      <c r="P78" s="117"/>
      <c r="T78" s="133"/>
      <c r="U78" s="133"/>
      <c r="V78" s="133"/>
      <c r="W78" s="133"/>
    </row>
    <row r="79" spans="20:23" ht="16.5" customHeight="1">
      <c r="T79" s="133"/>
      <c r="U79" s="133"/>
      <c r="V79" s="133"/>
      <c r="W79" s="133"/>
    </row>
    <row r="81" spans="18:23" ht="16.5" customHeight="1">
      <c r="R81" s="78"/>
      <c r="T81" s="154"/>
      <c r="U81" s="154"/>
      <c r="V81" s="154"/>
      <c r="W81" s="154"/>
    </row>
    <row r="82" spans="18:23" ht="16.5" customHeight="1">
      <c r="R82" s="78"/>
      <c r="T82" s="154"/>
      <c r="U82" s="154"/>
      <c r="V82" s="154"/>
      <c r="W82" s="154"/>
    </row>
  </sheetData>
  <sheetProtection sheet="1" scenarios="1" selectLockedCells="1"/>
  <mergeCells count="26">
    <mergeCell ref="Z72:Z74"/>
    <mergeCell ref="Y72:Y74"/>
    <mergeCell ref="R63:W69"/>
    <mergeCell ref="R72:X74"/>
    <mergeCell ref="C16:C27"/>
    <mergeCell ref="C39:D39"/>
    <mergeCell ref="C40:D40"/>
    <mergeCell ref="C29:C30"/>
    <mergeCell ref="C32:C35"/>
    <mergeCell ref="L16:L21"/>
    <mergeCell ref="C3:G4"/>
    <mergeCell ref="E6:G6"/>
    <mergeCell ref="H3:K4"/>
    <mergeCell ref="J12:O12"/>
    <mergeCell ref="H6:K6"/>
    <mergeCell ref="C12:C14"/>
    <mergeCell ref="F10:I10"/>
    <mergeCell ref="K10:O10"/>
    <mergeCell ref="C6:C10"/>
    <mergeCell ref="F9:O9"/>
    <mergeCell ref="E7:G7"/>
    <mergeCell ref="E8:G8"/>
    <mergeCell ref="H7:K7"/>
    <mergeCell ref="H8:K8"/>
    <mergeCell ref="N6:O6"/>
    <mergeCell ref="N7:O8"/>
  </mergeCells>
  <conditionalFormatting sqref="G40">
    <cfRule type="cellIs" priority="3" dxfId="14" operator="equal" stopIfTrue="1">
      <formula>"YES"</formula>
    </cfRule>
    <cfRule type="cellIs" priority="4" dxfId="0" operator="equal" stopIfTrue="1">
      <formula>"NO"</formula>
    </cfRule>
  </conditionalFormatting>
  <conditionalFormatting sqref="N40">
    <cfRule type="cellIs" priority="5" dxfId="0" operator="greaterThan" stopIfTrue="1">
      <formula>0.45</formula>
    </cfRule>
    <cfRule type="cellIs" priority="6" dxfId="9" operator="lessThanOrEqual" stopIfTrue="1">
      <formula>0.45</formula>
    </cfRule>
  </conditionalFormatting>
  <conditionalFormatting sqref="O40">
    <cfRule type="cellIs" priority="7" dxfId="0" operator="greaterThan" stopIfTrue="1">
      <formula>Headline!#REF!</formula>
    </cfRule>
    <cfRule type="cellIs" priority="8" dxfId="9" operator="lessThanOrEqual" stopIfTrue="1">
      <formula>$D$25</formula>
    </cfRule>
  </conditionalFormatting>
  <conditionalFormatting sqref="I40">
    <cfRule type="expression" priority="1" dxfId="6" stopIfTrue="1">
      <formula>"&lt;2.5"</formula>
    </cfRule>
    <cfRule type="cellIs" priority="10" dxfId="0" operator="greaterThan" stopIfTrue="1">
      <formula>$J$33</formula>
    </cfRule>
  </conditionalFormatting>
  <conditionalFormatting sqref="H40">
    <cfRule type="cellIs" priority="2" dxfId="6" operator="equal" stopIfTrue="1">
      <formula>"Minimum share unaffordable"</formula>
    </cfRule>
  </conditionalFormatting>
  <dataValidations count="1">
    <dataValidation type="whole" operator="lessThanOrEqual" allowBlank="1" showInputMessage="1" showErrorMessage="1" sqref="J35">
      <formula1>F51</formula1>
    </dataValidation>
  </dataValidations>
  <printOptions horizontalCentered="1" verticalCentered="1"/>
  <pageMargins left="0.35433070866141736" right="0.35433070866141736" top="0.11811023622047245" bottom="0.11811023622047245" header="0" footer="0"/>
  <pageSetup fitToHeight="1" fitToWidth="1"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60"/>
  <sheetViews>
    <sheetView zoomScalePageLayoutView="0" workbookViewId="0" topLeftCell="A1">
      <pane ySplit="1" topLeftCell="A5" activePane="bottomLeft" state="frozen"/>
      <selection pane="topLeft" activeCell="E1" sqref="E1"/>
      <selection pane="bottomLeft" activeCell="F2" sqref="F2"/>
    </sheetView>
  </sheetViews>
  <sheetFormatPr defaultColWidth="9.140625" defaultRowHeight="12.75"/>
  <cols>
    <col min="1" max="1" width="8.421875" style="48" customWidth="1"/>
    <col min="2" max="5" width="8.421875" style="45" customWidth="1"/>
    <col min="6" max="6" width="14.00390625" style="44" customWidth="1"/>
    <col min="7" max="8" width="12.28125" style="17" customWidth="1"/>
    <col min="9" max="9" width="12.28125" style="45" customWidth="1"/>
    <col min="10" max="10" width="12.28125" style="17" customWidth="1"/>
    <col min="11" max="11" width="12.28125" style="19" customWidth="1"/>
    <col min="12" max="13" width="12.28125" style="20" customWidth="1"/>
    <col min="14" max="15" width="12.28125" style="17" customWidth="1"/>
    <col min="16" max="16" width="12.28125" style="21" customWidth="1"/>
    <col min="17" max="16384" width="9.140625" style="17" customWidth="1"/>
  </cols>
  <sheetData>
    <row r="1" spans="1:18" s="18" customFormat="1" ht="39">
      <c r="A1" s="49" t="s">
        <v>63</v>
      </c>
      <c r="B1" s="47" t="s">
        <v>64</v>
      </c>
      <c r="C1" s="47" t="s">
        <v>62</v>
      </c>
      <c r="D1" s="47" t="s">
        <v>65</v>
      </c>
      <c r="E1" s="47" t="s">
        <v>92</v>
      </c>
      <c r="F1" s="157" t="s">
        <v>22</v>
      </c>
      <c r="G1" s="158" t="s">
        <v>44</v>
      </c>
      <c r="H1" s="158" t="s">
        <v>45</v>
      </c>
      <c r="I1" s="159" t="s">
        <v>24</v>
      </c>
      <c r="J1" s="158" t="s">
        <v>23</v>
      </c>
      <c r="K1" s="160" t="s">
        <v>13</v>
      </c>
      <c r="L1" s="161" t="s">
        <v>25</v>
      </c>
      <c r="M1" s="161" t="s">
        <v>26</v>
      </c>
      <c r="N1" s="162" t="s">
        <v>27</v>
      </c>
      <c r="O1" s="162" t="s">
        <v>28</v>
      </c>
      <c r="P1" s="163" t="s">
        <v>14</v>
      </c>
      <c r="Q1" s="22"/>
      <c r="R1" s="18">
        <f>Headline!J33</f>
        <v>4.5</v>
      </c>
    </row>
    <row r="2" spans="1:16" ht="12.75">
      <c r="A2" s="48" t="e">
        <f>IF($K2&gt;$R$1,2,1)</f>
        <v>#DIV/0!</v>
      </c>
      <c r="B2" s="48">
        <f aca="true" t="shared" si="0" ref="B2:B52">IF($P2&gt;45%,2,1)</f>
        <v>1</v>
      </c>
      <c r="C2" s="51">
        <f>IF(I2="YES",1,2)</f>
        <v>1</v>
      </c>
      <c r="D2" s="48" t="e">
        <f>IF(OR(C2=2,B2=2,A2=2),2,1)</f>
        <v>#DIV/0!</v>
      </c>
      <c r="E2" s="48" t="e">
        <f>IF(A2=1,IF(B2=1,1,2),2)</f>
        <v>#DIV/0!</v>
      </c>
      <c r="F2" s="164">
        <v>0.25</v>
      </c>
      <c r="G2" s="23">
        <f>$F2*Headline!$J$13</f>
        <v>0</v>
      </c>
      <c r="H2" s="23">
        <f>Headline!$O$33</f>
        <v>0</v>
      </c>
      <c r="I2" s="46" t="str">
        <f>IF($H2&gt;=($G2*Headline!$O$32),"YES","NO")</f>
        <v>YES</v>
      </c>
      <c r="J2" s="23">
        <f>SUM(G2-H2)</f>
        <v>0</v>
      </c>
      <c r="K2" s="24" t="e">
        <f>$J2/Headline!$J$32</f>
        <v>#DIV/0!</v>
      </c>
      <c r="L2" s="23">
        <f>(-PMT(Headline!$O$35/12,Headline!$J$35*12,'check share levels'!J2))</f>
        <v>0</v>
      </c>
      <c r="M2" s="23">
        <f>((Headline!$J$13-$G2)*Headline!$O$13)/12</f>
        <v>0</v>
      </c>
      <c r="N2" s="25">
        <f>Headline!$O$14/12</f>
        <v>0</v>
      </c>
      <c r="O2" s="25">
        <f>SUM(L2:N2)</f>
        <v>0</v>
      </c>
      <c r="P2" s="26">
        <f>+IF(Headline!$J$24&gt;0,$O2/(((Headline!$J$32/12))),0)</f>
        <v>0</v>
      </c>
    </row>
    <row r="3" spans="1:18" ht="12.75">
      <c r="A3" s="48" t="e">
        <f aca="true" t="shared" si="1" ref="A3:A52">IF($K3&gt;$R$1,2,1)</f>
        <v>#DIV/0!</v>
      </c>
      <c r="B3" s="48">
        <f t="shared" si="0"/>
        <v>1</v>
      </c>
      <c r="C3" s="51">
        <f aca="true" t="shared" si="2" ref="C3:C52">IF(I3="YES",1,2)</f>
        <v>1</v>
      </c>
      <c r="D3" s="48" t="e">
        <f aca="true" t="shared" si="3" ref="D3:D52">IF(OR(C3=2,B3=2,A3=2),2,1)</f>
        <v>#DIV/0!</v>
      </c>
      <c r="E3" s="48" t="e">
        <f aca="true" t="shared" si="4" ref="E3:E52">IF(A3=1,IF(B3=1,1,2),2)</f>
        <v>#DIV/0!</v>
      </c>
      <c r="F3" s="164">
        <v>0.26</v>
      </c>
      <c r="G3" s="23">
        <f>$F3*Headline!$J$13</f>
        <v>0</v>
      </c>
      <c r="H3" s="23">
        <f>Headline!$O$33</f>
        <v>0</v>
      </c>
      <c r="I3" s="46" t="str">
        <f>IF($H3&gt;=($G3*Headline!$O$32),"YES","NO")</f>
        <v>YES</v>
      </c>
      <c r="J3" s="23">
        <f>SUM(G3-H3)</f>
        <v>0</v>
      </c>
      <c r="K3" s="24" t="e">
        <f>$J3/Headline!$J$32</f>
        <v>#DIV/0!</v>
      </c>
      <c r="L3" s="23">
        <f>(-PMT(Headline!$O$35/12,Headline!$J$35*12,'check share levels'!J3))</f>
        <v>0</v>
      </c>
      <c r="M3" s="23">
        <f>((Headline!$J$13-$G3)*Headline!$O$13)/12</f>
        <v>0</v>
      </c>
      <c r="N3" s="25">
        <f>Headline!$O$14/12</f>
        <v>0</v>
      </c>
      <c r="O3" s="25">
        <f aca="true" t="shared" si="5" ref="O3:O52">SUM(L3:N3)</f>
        <v>0</v>
      </c>
      <c r="P3" s="26">
        <f>+IF(Headline!$J$24&gt;0,$O3/(((Headline!$J$32/12))),0)</f>
        <v>0</v>
      </c>
      <c r="R3" s="44"/>
    </row>
    <row r="4" spans="1:18" ht="12.75">
      <c r="A4" s="48" t="e">
        <f t="shared" si="1"/>
        <v>#DIV/0!</v>
      </c>
      <c r="B4" s="48">
        <f t="shared" si="0"/>
        <v>1</v>
      </c>
      <c r="C4" s="51">
        <f t="shared" si="2"/>
        <v>1</v>
      </c>
      <c r="D4" s="48" t="e">
        <f t="shared" si="3"/>
        <v>#DIV/0!</v>
      </c>
      <c r="E4" s="48" t="e">
        <f t="shared" si="4"/>
        <v>#DIV/0!</v>
      </c>
      <c r="F4" s="164">
        <v>0.27</v>
      </c>
      <c r="G4" s="23">
        <f>$F4*Headline!$J$13</f>
        <v>0</v>
      </c>
      <c r="H4" s="23">
        <f>Headline!$O$33</f>
        <v>0</v>
      </c>
      <c r="I4" s="46" t="str">
        <f>IF($H4&gt;=($G4*Headline!$O$32),"YES","NO")</f>
        <v>YES</v>
      </c>
      <c r="J4" s="23">
        <f aca="true" t="shared" si="6" ref="J4:J52">SUM(G4-H4)</f>
        <v>0</v>
      </c>
      <c r="K4" s="24" t="e">
        <f>$J4/Headline!$J$32</f>
        <v>#DIV/0!</v>
      </c>
      <c r="L4" s="23">
        <f>(-PMT(Headline!$O$35/12,Headline!$J$35*12,'check share levels'!J4))</f>
        <v>0</v>
      </c>
      <c r="M4" s="23">
        <f>((Headline!$J$13-$G4)*Headline!$O$13)/12</f>
        <v>0</v>
      </c>
      <c r="N4" s="25">
        <f>Headline!$O$14/12</f>
        <v>0</v>
      </c>
      <c r="O4" s="25">
        <f t="shared" si="5"/>
        <v>0</v>
      </c>
      <c r="P4" s="26">
        <f>+IF(Headline!$J$24&gt;0,$O4/(((Headline!$J$32/12))),0)</f>
        <v>0</v>
      </c>
      <c r="R4" s="44"/>
    </row>
    <row r="5" spans="1:18" ht="12.75">
      <c r="A5" s="48" t="e">
        <f t="shared" si="1"/>
        <v>#DIV/0!</v>
      </c>
      <c r="B5" s="48">
        <f t="shared" si="0"/>
        <v>1</v>
      </c>
      <c r="C5" s="51">
        <f t="shared" si="2"/>
        <v>1</v>
      </c>
      <c r="D5" s="48" t="e">
        <f t="shared" si="3"/>
        <v>#DIV/0!</v>
      </c>
      <c r="E5" s="48" t="e">
        <f t="shared" si="4"/>
        <v>#DIV/0!</v>
      </c>
      <c r="F5" s="164">
        <v>0.28</v>
      </c>
      <c r="G5" s="23">
        <f>$F5*Headline!$J$13</f>
        <v>0</v>
      </c>
      <c r="H5" s="23">
        <f>Headline!$O$33</f>
        <v>0</v>
      </c>
      <c r="I5" s="46" t="str">
        <f>IF($H5&gt;=($G5*Headline!$O$32),"YES","NO")</f>
        <v>YES</v>
      </c>
      <c r="J5" s="23">
        <f t="shared" si="6"/>
        <v>0</v>
      </c>
      <c r="K5" s="24" t="e">
        <f>$J5/Headline!$J$32</f>
        <v>#DIV/0!</v>
      </c>
      <c r="L5" s="23">
        <f>(-PMT(Headline!$O$35/12,Headline!$J$35*12,'check share levels'!J5))</f>
        <v>0</v>
      </c>
      <c r="M5" s="23">
        <f>((Headline!$J$13-$G5)*Headline!$O$13)/12</f>
        <v>0</v>
      </c>
      <c r="N5" s="25">
        <f>Headline!$O$14/12</f>
        <v>0</v>
      </c>
      <c r="O5" s="25">
        <f t="shared" si="5"/>
        <v>0</v>
      </c>
      <c r="P5" s="26">
        <f>+IF(Headline!$J$24&gt;0,$O5/(((Headline!$J$32/12))),0)</f>
        <v>0</v>
      </c>
      <c r="R5" s="44"/>
    </row>
    <row r="6" spans="1:18" ht="12.75">
      <c r="A6" s="48" t="e">
        <f t="shared" si="1"/>
        <v>#DIV/0!</v>
      </c>
      <c r="B6" s="48">
        <f t="shared" si="0"/>
        <v>1</v>
      </c>
      <c r="C6" s="51">
        <f t="shared" si="2"/>
        <v>1</v>
      </c>
      <c r="D6" s="48" t="e">
        <f t="shared" si="3"/>
        <v>#DIV/0!</v>
      </c>
      <c r="E6" s="48" t="e">
        <f t="shared" si="4"/>
        <v>#DIV/0!</v>
      </c>
      <c r="F6" s="164">
        <v>0.29</v>
      </c>
      <c r="G6" s="23">
        <f>$F6*Headline!$J$13</f>
        <v>0</v>
      </c>
      <c r="H6" s="23">
        <f>Headline!$O$33</f>
        <v>0</v>
      </c>
      <c r="I6" s="46" t="str">
        <f>IF($H6&gt;=($G6*Headline!$O$32),"YES","NO")</f>
        <v>YES</v>
      </c>
      <c r="J6" s="23">
        <f t="shared" si="6"/>
        <v>0</v>
      </c>
      <c r="K6" s="24" t="e">
        <f>$J6/Headline!$J$32</f>
        <v>#DIV/0!</v>
      </c>
      <c r="L6" s="23">
        <f>(-PMT(Headline!$O$35/12,Headline!$J$35*12,'check share levels'!J6))</f>
        <v>0</v>
      </c>
      <c r="M6" s="23">
        <f>((Headline!$J$13-$G6)*Headline!$O$13)/12</f>
        <v>0</v>
      </c>
      <c r="N6" s="25">
        <f>Headline!$O$14/12</f>
        <v>0</v>
      </c>
      <c r="O6" s="25">
        <f t="shared" si="5"/>
        <v>0</v>
      </c>
      <c r="P6" s="26">
        <f>+IF(Headline!$J$24&gt;0,$O6/(((Headline!$J$32/12))),0)</f>
        <v>0</v>
      </c>
      <c r="R6" s="44"/>
    </row>
    <row r="7" spans="1:18" ht="12.75">
      <c r="A7" s="48" t="e">
        <f t="shared" si="1"/>
        <v>#DIV/0!</v>
      </c>
      <c r="B7" s="48">
        <f t="shared" si="0"/>
        <v>1</v>
      </c>
      <c r="C7" s="51">
        <f t="shared" si="2"/>
        <v>1</v>
      </c>
      <c r="D7" s="48" t="e">
        <f t="shared" si="3"/>
        <v>#DIV/0!</v>
      </c>
      <c r="E7" s="48" t="e">
        <f t="shared" si="4"/>
        <v>#DIV/0!</v>
      </c>
      <c r="F7" s="164">
        <v>0.3</v>
      </c>
      <c r="G7" s="23">
        <f>$F7*Headline!$J$13</f>
        <v>0</v>
      </c>
      <c r="H7" s="23">
        <f>Headline!$O$33</f>
        <v>0</v>
      </c>
      <c r="I7" s="46" t="str">
        <f>IF($H7&gt;=($G7*Headline!$O$32),"YES","NO")</f>
        <v>YES</v>
      </c>
      <c r="J7" s="23">
        <f t="shared" si="6"/>
        <v>0</v>
      </c>
      <c r="K7" s="24" t="e">
        <f>$J7/Headline!$J$32</f>
        <v>#DIV/0!</v>
      </c>
      <c r="L7" s="23">
        <f>(-PMT(Headline!$O$35/12,Headline!$J$35*12,'check share levels'!J7))</f>
        <v>0</v>
      </c>
      <c r="M7" s="23">
        <f>((Headline!$J$13-$G7)*Headline!$O$13)/12</f>
        <v>0</v>
      </c>
      <c r="N7" s="25">
        <f>Headline!$O$14/12</f>
        <v>0</v>
      </c>
      <c r="O7" s="25">
        <f t="shared" si="5"/>
        <v>0</v>
      </c>
      <c r="P7" s="26">
        <f>+IF(Headline!$J$24&gt;0,$O7/(((Headline!$J$32/12))),0)</f>
        <v>0</v>
      </c>
      <c r="R7" s="44"/>
    </row>
    <row r="8" spans="1:18" ht="12.75">
      <c r="A8" s="48" t="e">
        <f t="shared" si="1"/>
        <v>#DIV/0!</v>
      </c>
      <c r="B8" s="48">
        <f t="shared" si="0"/>
        <v>1</v>
      </c>
      <c r="C8" s="51">
        <f t="shared" si="2"/>
        <v>1</v>
      </c>
      <c r="D8" s="48" t="e">
        <f t="shared" si="3"/>
        <v>#DIV/0!</v>
      </c>
      <c r="E8" s="48" t="e">
        <f t="shared" si="4"/>
        <v>#DIV/0!</v>
      </c>
      <c r="F8" s="164">
        <v>0.31</v>
      </c>
      <c r="G8" s="23">
        <f>$F8*Headline!$J$13</f>
        <v>0</v>
      </c>
      <c r="H8" s="23">
        <f>Headline!$O$33</f>
        <v>0</v>
      </c>
      <c r="I8" s="46" t="str">
        <f>IF($H8&gt;=($G8*Headline!$O$32),"YES","NO")</f>
        <v>YES</v>
      </c>
      <c r="J8" s="23">
        <f t="shared" si="6"/>
        <v>0</v>
      </c>
      <c r="K8" s="24" t="e">
        <f>$J8/Headline!$J$32</f>
        <v>#DIV/0!</v>
      </c>
      <c r="L8" s="23">
        <f>(-PMT(Headline!$O$35/12,Headline!$J$35*12,'check share levels'!J8))</f>
        <v>0</v>
      </c>
      <c r="M8" s="23">
        <f>((Headline!$J$13-$G8)*Headline!$O$13)/12</f>
        <v>0</v>
      </c>
      <c r="N8" s="25">
        <f>Headline!$O$14/12</f>
        <v>0</v>
      </c>
      <c r="O8" s="25">
        <f t="shared" si="5"/>
        <v>0</v>
      </c>
      <c r="P8" s="26">
        <f>+IF(Headline!$J$24&gt;0,$O8/(((Headline!$J$32/12))),0)</f>
        <v>0</v>
      </c>
      <c r="R8" s="44"/>
    </row>
    <row r="9" spans="1:18" ht="12.75">
      <c r="A9" s="48" t="e">
        <f t="shared" si="1"/>
        <v>#DIV/0!</v>
      </c>
      <c r="B9" s="48">
        <f t="shared" si="0"/>
        <v>1</v>
      </c>
      <c r="C9" s="51">
        <f t="shared" si="2"/>
        <v>1</v>
      </c>
      <c r="D9" s="48" t="e">
        <f t="shared" si="3"/>
        <v>#DIV/0!</v>
      </c>
      <c r="E9" s="48" t="e">
        <f t="shared" si="4"/>
        <v>#DIV/0!</v>
      </c>
      <c r="F9" s="164">
        <v>0.32</v>
      </c>
      <c r="G9" s="23">
        <f>$F9*Headline!$J$13</f>
        <v>0</v>
      </c>
      <c r="H9" s="23">
        <f>Headline!$O$33</f>
        <v>0</v>
      </c>
      <c r="I9" s="46" t="str">
        <f>IF($H9&gt;=($G9*Headline!$O$32),"YES","NO")</f>
        <v>YES</v>
      </c>
      <c r="J9" s="23">
        <f t="shared" si="6"/>
        <v>0</v>
      </c>
      <c r="K9" s="24" t="e">
        <f>$J9/Headline!$J$32</f>
        <v>#DIV/0!</v>
      </c>
      <c r="L9" s="23">
        <f>(-PMT(Headline!$O$35/12,Headline!$J$35*12,'check share levels'!J9))</f>
        <v>0</v>
      </c>
      <c r="M9" s="23">
        <f>((Headline!$J$13-$G9)*Headline!$O$13)/12</f>
        <v>0</v>
      </c>
      <c r="N9" s="25">
        <f>Headline!$O$14/12</f>
        <v>0</v>
      </c>
      <c r="O9" s="25">
        <f t="shared" si="5"/>
        <v>0</v>
      </c>
      <c r="P9" s="26">
        <f>+IF(Headline!$J$24&gt;0,$O9/(((Headline!$J$32/12))),0)</f>
        <v>0</v>
      </c>
      <c r="R9" s="44"/>
    </row>
    <row r="10" spans="1:18" ht="12.75">
      <c r="A10" s="48" t="e">
        <f t="shared" si="1"/>
        <v>#DIV/0!</v>
      </c>
      <c r="B10" s="48">
        <f t="shared" si="0"/>
        <v>1</v>
      </c>
      <c r="C10" s="51">
        <f t="shared" si="2"/>
        <v>1</v>
      </c>
      <c r="D10" s="48" t="e">
        <f t="shared" si="3"/>
        <v>#DIV/0!</v>
      </c>
      <c r="E10" s="48" t="e">
        <f t="shared" si="4"/>
        <v>#DIV/0!</v>
      </c>
      <c r="F10" s="164">
        <v>0.33</v>
      </c>
      <c r="G10" s="23">
        <f>$F10*Headline!$J$13</f>
        <v>0</v>
      </c>
      <c r="H10" s="23">
        <f>Headline!$O$33</f>
        <v>0</v>
      </c>
      <c r="I10" s="46" t="str">
        <f>IF($H10&gt;=($G10*Headline!$O$32),"YES","NO")</f>
        <v>YES</v>
      </c>
      <c r="J10" s="23">
        <f t="shared" si="6"/>
        <v>0</v>
      </c>
      <c r="K10" s="24" t="e">
        <f>$J10/Headline!$J$32</f>
        <v>#DIV/0!</v>
      </c>
      <c r="L10" s="23">
        <f>(-PMT(Headline!$O$35/12,Headline!$J$35*12,'check share levels'!J10))</f>
        <v>0</v>
      </c>
      <c r="M10" s="23">
        <f>((Headline!$J$13-$G10)*Headline!$O$13)/12</f>
        <v>0</v>
      </c>
      <c r="N10" s="25">
        <f>Headline!$O$14/12</f>
        <v>0</v>
      </c>
      <c r="O10" s="25">
        <f t="shared" si="5"/>
        <v>0</v>
      </c>
      <c r="P10" s="26">
        <f>+IF(Headline!$J$24&gt;0,$O10/(((Headline!$J$32/12))),0)</f>
        <v>0</v>
      </c>
      <c r="R10" s="44"/>
    </row>
    <row r="11" spans="1:18" ht="12.75">
      <c r="A11" s="48" t="e">
        <f t="shared" si="1"/>
        <v>#DIV/0!</v>
      </c>
      <c r="B11" s="48">
        <f t="shared" si="0"/>
        <v>1</v>
      </c>
      <c r="C11" s="51">
        <f t="shared" si="2"/>
        <v>1</v>
      </c>
      <c r="D11" s="48" t="e">
        <f t="shared" si="3"/>
        <v>#DIV/0!</v>
      </c>
      <c r="E11" s="48" t="e">
        <f t="shared" si="4"/>
        <v>#DIV/0!</v>
      </c>
      <c r="F11" s="164">
        <v>0.34</v>
      </c>
      <c r="G11" s="23">
        <f>$F11*Headline!$J$13</f>
        <v>0</v>
      </c>
      <c r="H11" s="23">
        <f>Headline!$O$33</f>
        <v>0</v>
      </c>
      <c r="I11" s="46" t="str">
        <f>IF($H11&gt;=($G11*Headline!$O$32),"YES","NO")</f>
        <v>YES</v>
      </c>
      <c r="J11" s="23">
        <f t="shared" si="6"/>
        <v>0</v>
      </c>
      <c r="K11" s="27" t="e">
        <f>$J11/Headline!$J$32</f>
        <v>#DIV/0!</v>
      </c>
      <c r="L11" s="23">
        <f>(-PMT(Headline!$O$35/12,Headline!$J$35*12,'check share levels'!J11))</f>
        <v>0</v>
      </c>
      <c r="M11" s="23">
        <f>((Headline!$J$13-$G11)*Headline!$O$13)/12</f>
        <v>0</v>
      </c>
      <c r="N11" s="25">
        <f>Headline!$O$14/12</f>
        <v>0</v>
      </c>
      <c r="O11" s="25">
        <f t="shared" si="5"/>
        <v>0</v>
      </c>
      <c r="P11" s="26">
        <f>+IF(Headline!$J$24&gt;0,$O11/(((Headline!$J$32/12))),0)</f>
        <v>0</v>
      </c>
      <c r="R11" s="44"/>
    </row>
    <row r="12" spans="1:18" ht="12.75">
      <c r="A12" s="48" t="e">
        <f t="shared" si="1"/>
        <v>#DIV/0!</v>
      </c>
      <c r="B12" s="48">
        <f t="shared" si="0"/>
        <v>1</v>
      </c>
      <c r="C12" s="51">
        <f t="shared" si="2"/>
        <v>1</v>
      </c>
      <c r="D12" s="48" t="e">
        <f t="shared" si="3"/>
        <v>#DIV/0!</v>
      </c>
      <c r="E12" s="48" t="e">
        <f t="shared" si="4"/>
        <v>#DIV/0!</v>
      </c>
      <c r="F12" s="164">
        <v>0.35</v>
      </c>
      <c r="G12" s="23">
        <f>$F12*Headline!$J$13</f>
        <v>0</v>
      </c>
      <c r="H12" s="23">
        <f>Headline!$O$33</f>
        <v>0</v>
      </c>
      <c r="I12" s="46" t="str">
        <f>IF($H12&gt;=($G12*Headline!$O$32),"YES","NO")</f>
        <v>YES</v>
      </c>
      <c r="J12" s="23">
        <f t="shared" si="6"/>
        <v>0</v>
      </c>
      <c r="K12" s="27" t="e">
        <f>$J12/Headline!$J$32</f>
        <v>#DIV/0!</v>
      </c>
      <c r="L12" s="23">
        <f>(-PMT(Headline!$O$35/12,Headline!$J$35*12,'check share levels'!J12))</f>
        <v>0</v>
      </c>
      <c r="M12" s="23">
        <f>((Headline!$J$13-$G12)*Headline!$O$13)/12</f>
        <v>0</v>
      </c>
      <c r="N12" s="25">
        <f>Headline!$O$14/12</f>
        <v>0</v>
      </c>
      <c r="O12" s="25">
        <f t="shared" si="5"/>
        <v>0</v>
      </c>
      <c r="P12" s="26">
        <f>+IF(Headline!$J$24&gt;0,$O12/(((Headline!$J$32/12))),0)</f>
        <v>0</v>
      </c>
      <c r="R12" s="44"/>
    </row>
    <row r="13" spans="1:18" ht="12.75">
      <c r="A13" s="48" t="e">
        <f t="shared" si="1"/>
        <v>#DIV/0!</v>
      </c>
      <c r="B13" s="48">
        <f t="shared" si="0"/>
        <v>1</v>
      </c>
      <c r="C13" s="51">
        <f t="shared" si="2"/>
        <v>1</v>
      </c>
      <c r="D13" s="48" t="e">
        <f t="shared" si="3"/>
        <v>#DIV/0!</v>
      </c>
      <c r="E13" s="48" t="e">
        <f t="shared" si="4"/>
        <v>#DIV/0!</v>
      </c>
      <c r="F13" s="164">
        <v>0.36</v>
      </c>
      <c r="G13" s="23">
        <f>$F13*Headline!$J$13</f>
        <v>0</v>
      </c>
      <c r="H13" s="23">
        <f>Headline!$O$33</f>
        <v>0</v>
      </c>
      <c r="I13" s="46" t="str">
        <f>IF($H13&gt;=($G13*Headline!$O$32),"YES","NO")</f>
        <v>YES</v>
      </c>
      <c r="J13" s="23">
        <f t="shared" si="6"/>
        <v>0</v>
      </c>
      <c r="K13" s="27" t="e">
        <f>$J13/Headline!$J$32</f>
        <v>#DIV/0!</v>
      </c>
      <c r="L13" s="23">
        <f>(-PMT(Headline!$O$35/12,Headline!$J$35*12,'check share levels'!J13))</f>
        <v>0</v>
      </c>
      <c r="M13" s="23">
        <f>((Headline!$J$13-$G13)*Headline!$O$13)/12</f>
        <v>0</v>
      </c>
      <c r="N13" s="25">
        <f>Headline!$O$14/12</f>
        <v>0</v>
      </c>
      <c r="O13" s="25">
        <f t="shared" si="5"/>
        <v>0</v>
      </c>
      <c r="P13" s="26">
        <f>+IF(Headline!$J$24&gt;0,$O13/(((Headline!$J$32/12))),0)</f>
        <v>0</v>
      </c>
      <c r="R13" s="44"/>
    </row>
    <row r="14" spans="1:18" ht="12.75">
      <c r="A14" s="48" t="e">
        <f t="shared" si="1"/>
        <v>#DIV/0!</v>
      </c>
      <c r="B14" s="48">
        <f t="shared" si="0"/>
        <v>1</v>
      </c>
      <c r="C14" s="51">
        <f t="shared" si="2"/>
        <v>1</v>
      </c>
      <c r="D14" s="48" t="e">
        <f t="shared" si="3"/>
        <v>#DIV/0!</v>
      </c>
      <c r="E14" s="48" t="e">
        <f t="shared" si="4"/>
        <v>#DIV/0!</v>
      </c>
      <c r="F14" s="164">
        <v>0.37</v>
      </c>
      <c r="G14" s="23">
        <f>$F14*Headline!$J$13</f>
        <v>0</v>
      </c>
      <c r="H14" s="23">
        <f>Headline!$O$33</f>
        <v>0</v>
      </c>
      <c r="I14" s="46" t="str">
        <f>IF($H14&gt;=($G14*Headline!$O$32),"YES","NO")</f>
        <v>YES</v>
      </c>
      <c r="J14" s="23">
        <f t="shared" si="6"/>
        <v>0</v>
      </c>
      <c r="K14" s="27" t="e">
        <f>$J14/Headline!$J$32</f>
        <v>#DIV/0!</v>
      </c>
      <c r="L14" s="23">
        <f>(-PMT(Headline!$O$35/12,Headline!$J$35*12,'check share levels'!J14))</f>
        <v>0</v>
      </c>
      <c r="M14" s="23">
        <f>((Headline!$J$13-$G14)*Headline!$O$13)/12</f>
        <v>0</v>
      </c>
      <c r="N14" s="25">
        <f>Headline!$O$14/12</f>
        <v>0</v>
      </c>
      <c r="O14" s="25">
        <f t="shared" si="5"/>
        <v>0</v>
      </c>
      <c r="P14" s="26">
        <f>+IF(Headline!$J$24&gt;0,$O14/(((Headline!$J$32/12))),0)</f>
        <v>0</v>
      </c>
      <c r="R14" s="44"/>
    </row>
    <row r="15" spans="1:18" ht="12.75">
      <c r="A15" s="48" t="e">
        <f t="shared" si="1"/>
        <v>#DIV/0!</v>
      </c>
      <c r="B15" s="48">
        <f t="shared" si="0"/>
        <v>1</v>
      </c>
      <c r="C15" s="51">
        <f t="shared" si="2"/>
        <v>1</v>
      </c>
      <c r="D15" s="48" t="e">
        <f t="shared" si="3"/>
        <v>#DIV/0!</v>
      </c>
      <c r="E15" s="48" t="e">
        <f t="shared" si="4"/>
        <v>#DIV/0!</v>
      </c>
      <c r="F15" s="164">
        <v>0.38</v>
      </c>
      <c r="G15" s="23">
        <f>$F15*Headline!$J$13</f>
        <v>0</v>
      </c>
      <c r="H15" s="23">
        <f>Headline!$O$33</f>
        <v>0</v>
      </c>
      <c r="I15" s="46" t="str">
        <f>IF($H15&gt;=($G15*Headline!$O$32),"YES","NO")</f>
        <v>YES</v>
      </c>
      <c r="J15" s="23">
        <f t="shared" si="6"/>
        <v>0</v>
      </c>
      <c r="K15" s="27" t="e">
        <f>$J15/Headline!$J$32</f>
        <v>#DIV/0!</v>
      </c>
      <c r="L15" s="23">
        <f>(-PMT(Headline!$O$35/12,Headline!$J$35*12,'check share levels'!J15))</f>
        <v>0</v>
      </c>
      <c r="M15" s="23">
        <f>((Headline!$J$13-$G15)*Headline!$O$13)/12</f>
        <v>0</v>
      </c>
      <c r="N15" s="25">
        <f>Headline!$O$14/12</f>
        <v>0</v>
      </c>
      <c r="O15" s="25">
        <f t="shared" si="5"/>
        <v>0</v>
      </c>
      <c r="P15" s="26">
        <f>+IF(Headline!$J$24&gt;0,$O15/(((Headline!$J$32/12))),0)</f>
        <v>0</v>
      </c>
      <c r="R15" s="44"/>
    </row>
    <row r="16" spans="1:18" ht="12.75">
      <c r="A16" s="48" t="e">
        <f t="shared" si="1"/>
        <v>#DIV/0!</v>
      </c>
      <c r="B16" s="48">
        <f t="shared" si="0"/>
        <v>1</v>
      </c>
      <c r="C16" s="51">
        <f t="shared" si="2"/>
        <v>1</v>
      </c>
      <c r="D16" s="48" t="e">
        <f t="shared" si="3"/>
        <v>#DIV/0!</v>
      </c>
      <c r="E16" s="48" t="e">
        <f t="shared" si="4"/>
        <v>#DIV/0!</v>
      </c>
      <c r="F16" s="164">
        <v>0.39</v>
      </c>
      <c r="G16" s="23">
        <f>$F16*Headline!$J$13</f>
        <v>0</v>
      </c>
      <c r="H16" s="23">
        <f>Headline!$O$33</f>
        <v>0</v>
      </c>
      <c r="I16" s="46" t="str">
        <f>IF($H16&gt;=($G16*Headline!$O$32),"YES","NO")</f>
        <v>YES</v>
      </c>
      <c r="J16" s="23">
        <f t="shared" si="6"/>
        <v>0</v>
      </c>
      <c r="K16" s="27" t="e">
        <f>$J16/Headline!$J$32</f>
        <v>#DIV/0!</v>
      </c>
      <c r="L16" s="23">
        <f>(-PMT(Headline!$O$35/12,Headline!$J$35*12,'check share levels'!J16))</f>
        <v>0</v>
      </c>
      <c r="M16" s="23">
        <f>((Headline!$J$13-$G16)*Headline!$O$13)/12</f>
        <v>0</v>
      </c>
      <c r="N16" s="25">
        <f>Headline!$O$14/12</f>
        <v>0</v>
      </c>
      <c r="O16" s="25">
        <f t="shared" si="5"/>
        <v>0</v>
      </c>
      <c r="P16" s="26">
        <f>+IF(Headline!$J$24&gt;0,$O16/(((Headline!$J$32/12))),0)</f>
        <v>0</v>
      </c>
      <c r="R16" s="44"/>
    </row>
    <row r="17" spans="1:18" ht="12.75">
      <c r="A17" s="48" t="e">
        <f t="shared" si="1"/>
        <v>#DIV/0!</v>
      </c>
      <c r="B17" s="48">
        <f t="shared" si="0"/>
        <v>1</v>
      </c>
      <c r="C17" s="51">
        <f t="shared" si="2"/>
        <v>1</v>
      </c>
      <c r="D17" s="48" t="e">
        <f t="shared" si="3"/>
        <v>#DIV/0!</v>
      </c>
      <c r="E17" s="48" t="e">
        <f t="shared" si="4"/>
        <v>#DIV/0!</v>
      </c>
      <c r="F17" s="164">
        <v>0.4</v>
      </c>
      <c r="G17" s="23">
        <f>$F17*Headline!$J$13</f>
        <v>0</v>
      </c>
      <c r="H17" s="23">
        <f>Headline!$O$33</f>
        <v>0</v>
      </c>
      <c r="I17" s="46" t="str">
        <f>IF($H17&gt;=($G17*Headline!$O$32),"YES","NO")</f>
        <v>YES</v>
      </c>
      <c r="J17" s="23">
        <f t="shared" si="6"/>
        <v>0</v>
      </c>
      <c r="K17" s="27" t="e">
        <f>$J17/Headline!$J$32</f>
        <v>#DIV/0!</v>
      </c>
      <c r="L17" s="23">
        <f>(-PMT(Headline!$O$35/12,Headline!$J$35*12,'check share levels'!J17))</f>
        <v>0</v>
      </c>
      <c r="M17" s="23">
        <f>((Headline!$J$13-$G17)*Headline!$O$13)/12</f>
        <v>0</v>
      </c>
      <c r="N17" s="25">
        <f>Headline!$O$14/12</f>
        <v>0</v>
      </c>
      <c r="O17" s="25">
        <f t="shared" si="5"/>
        <v>0</v>
      </c>
      <c r="P17" s="26">
        <f>+IF(Headline!$J$24&gt;0,$O17/(((Headline!$J$32/12))),0)</f>
        <v>0</v>
      </c>
      <c r="R17" s="44"/>
    </row>
    <row r="18" spans="1:18" ht="12.75">
      <c r="A18" s="48" t="e">
        <f t="shared" si="1"/>
        <v>#DIV/0!</v>
      </c>
      <c r="B18" s="48">
        <f t="shared" si="0"/>
        <v>1</v>
      </c>
      <c r="C18" s="51">
        <f t="shared" si="2"/>
        <v>1</v>
      </c>
      <c r="D18" s="48" t="e">
        <f t="shared" si="3"/>
        <v>#DIV/0!</v>
      </c>
      <c r="E18" s="48" t="e">
        <f t="shared" si="4"/>
        <v>#DIV/0!</v>
      </c>
      <c r="F18" s="164">
        <v>0.41</v>
      </c>
      <c r="G18" s="23">
        <f>$F18*Headline!$J$13</f>
        <v>0</v>
      </c>
      <c r="H18" s="23">
        <f>Headline!$O$33</f>
        <v>0</v>
      </c>
      <c r="I18" s="46" t="str">
        <f>IF($H18&gt;=($G18*Headline!$O$32),"YES","NO")</f>
        <v>YES</v>
      </c>
      <c r="J18" s="23">
        <f t="shared" si="6"/>
        <v>0</v>
      </c>
      <c r="K18" s="27" t="e">
        <f>$J18/Headline!$J$32</f>
        <v>#DIV/0!</v>
      </c>
      <c r="L18" s="23">
        <f>(-PMT(Headline!$O$35/12,Headline!$J$35*12,'check share levels'!J18))</f>
        <v>0</v>
      </c>
      <c r="M18" s="23">
        <f>((Headline!$J$13-$G18)*Headline!$O$13)/12</f>
        <v>0</v>
      </c>
      <c r="N18" s="25">
        <f>Headline!$O$14/12</f>
        <v>0</v>
      </c>
      <c r="O18" s="25">
        <f t="shared" si="5"/>
        <v>0</v>
      </c>
      <c r="P18" s="26">
        <f>+IF(Headline!$J$24&gt;0,$O18/(((Headline!$J$32/12))),0)</f>
        <v>0</v>
      </c>
      <c r="R18" s="44"/>
    </row>
    <row r="19" spans="1:18" ht="12.75">
      <c r="A19" s="48" t="e">
        <f t="shared" si="1"/>
        <v>#DIV/0!</v>
      </c>
      <c r="B19" s="48">
        <f t="shared" si="0"/>
        <v>1</v>
      </c>
      <c r="C19" s="51">
        <f t="shared" si="2"/>
        <v>1</v>
      </c>
      <c r="D19" s="48" t="e">
        <f t="shared" si="3"/>
        <v>#DIV/0!</v>
      </c>
      <c r="E19" s="48" t="e">
        <f t="shared" si="4"/>
        <v>#DIV/0!</v>
      </c>
      <c r="F19" s="164">
        <v>0.42</v>
      </c>
      <c r="G19" s="23">
        <f>$F19*Headline!$J$13</f>
        <v>0</v>
      </c>
      <c r="H19" s="23">
        <f>Headline!$O$33</f>
        <v>0</v>
      </c>
      <c r="I19" s="46" t="str">
        <f>IF($H19&gt;=($G19*Headline!$O$32),"YES","NO")</f>
        <v>YES</v>
      </c>
      <c r="J19" s="23">
        <f t="shared" si="6"/>
        <v>0</v>
      </c>
      <c r="K19" s="27" t="e">
        <f>$J19/Headline!$J$32</f>
        <v>#DIV/0!</v>
      </c>
      <c r="L19" s="23">
        <f>(-PMT(Headline!$O$35/12,Headline!$J$35*12,'check share levels'!J19))</f>
        <v>0</v>
      </c>
      <c r="M19" s="23">
        <f>((Headline!$J$13-$G19)*Headline!$O$13)/12</f>
        <v>0</v>
      </c>
      <c r="N19" s="25">
        <f>Headline!$O$14/12</f>
        <v>0</v>
      </c>
      <c r="O19" s="25">
        <f t="shared" si="5"/>
        <v>0</v>
      </c>
      <c r="P19" s="26">
        <f>+IF(Headline!$J$24&gt;0,$O19/(((Headline!$J$32/12))),0)</f>
        <v>0</v>
      </c>
      <c r="R19" s="44"/>
    </row>
    <row r="20" spans="1:18" ht="12.75">
      <c r="A20" s="48" t="e">
        <f t="shared" si="1"/>
        <v>#DIV/0!</v>
      </c>
      <c r="B20" s="48">
        <f t="shared" si="0"/>
        <v>1</v>
      </c>
      <c r="C20" s="51">
        <f t="shared" si="2"/>
        <v>1</v>
      </c>
      <c r="D20" s="48" t="e">
        <f t="shared" si="3"/>
        <v>#DIV/0!</v>
      </c>
      <c r="E20" s="48" t="e">
        <f t="shared" si="4"/>
        <v>#DIV/0!</v>
      </c>
      <c r="F20" s="164">
        <v>0.43</v>
      </c>
      <c r="G20" s="23">
        <f>$F20*Headline!$J$13</f>
        <v>0</v>
      </c>
      <c r="H20" s="23">
        <f>Headline!$O$33</f>
        <v>0</v>
      </c>
      <c r="I20" s="46" t="str">
        <f>IF($H20&gt;=($G20*Headline!$O$32),"YES","NO")</f>
        <v>YES</v>
      </c>
      <c r="J20" s="23">
        <f t="shared" si="6"/>
        <v>0</v>
      </c>
      <c r="K20" s="27" t="e">
        <f>$J20/Headline!$J$32</f>
        <v>#DIV/0!</v>
      </c>
      <c r="L20" s="23">
        <f>(-PMT(Headline!$O$35/12,Headline!$J$35*12,'check share levels'!J20))</f>
        <v>0</v>
      </c>
      <c r="M20" s="23">
        <f>((Headline!$J$13-$G20)*Headline!$O$13)/12</f>
        <v>0</v>
      </c>
      <c r="N20" s="25">
        <f>Headline!$O$14/12</f>
        <v>0</v>
      </c>
      <c r="O20" s="25">
        <f t="shared" si="5"/>
        <v>0</v>
      </c>
      <c r="P20" s="26">
        <f>+IF(Headline!$J$24&gt;0,$O20/(((Headline!$J$32/12))),0)</f>
        <v>0</v>
      </c>
      <c r="R20" s="44"/>
    </row>
    <row r="21" spans="1:18" ht="12.75">
      <c r="A21" s="48" t="e">
        <f t="shared" si="1"/>
        <v>#DIV/0!</v>
      </c>
      <c r="B21" s="48">
        <f t="shared" si="0"/>
        <v>1</v>
      </c>
      <c r="C21" s="51">
        <f t="shared" si="2"/>
        <v>1</v>
      </c>
      <c r="D21" s="48" t="e">
        <f t="shared" si="3"/>
        <v>#DIV/0!</v>
      </c>
      <c r="E21" s="48" t="e">
        <f t="shared" si="4"/>
        <v>#DIV/0!</v>
      </c>
      <c r="F21" s="164">
        <v>0.44</v>
      </c>
      <c r="G21" s="23">
        <f>$F21*Headline!$J$13</f>
        <v>0</v>
      </c>
      <c r="H21" s="23">
        <f>Headline!$O$33</f>
        <v>0</v>
      </c>
      <c r="I21" s="46" t="str">
        <f>IF($H21&gt;=($G21*Headline!$O$32),"YES","NO")</f>
        <v>YES</v>
      </c>
      <c r="J21" s="23">
        <f t="shared" si="6"/>
        <v>0</v>
      </c>
      <c r="K21" s="27" t="e">
        <f>$J21/Headline!$J$32</f>
        <v>#DIV/0!</v>
      </c>
      <c r="L21" s="23">
        <f>(-PMT(Headline!$O$35/12,Headline!$J$35*12,'check share levels'!J21))</f>
        <v>0</v>
      </c>
      <c r="M21" s="23">
        <f>((Headline!$J$13-$G21)*Headline!$O$13)/12</f>
        <v>0</v>
      </c>
      <c r="N21" s="25">
        <f>Headline!$O$14/12</f>
        <v>0</v>
      </c>
      <c r="O21" s="25">
        <f t="shared" si="5"/>
        <v>0</v>
      </c>
      <c r="P21" s="26">
        <f>+IF(Headline!$J$24&gt;0,$O21/(((Headline!$J$32/12))),0)</f>
        <v>0</v>
      </c>
      <c r="R21" s="44"/>
    </row>
    <row r="22" spans="1:18" ht="12.75">
      <c r="A22" s="48" t="e">
        <f t="shared" si="1"/>
        <v>#DIV/0!</v>
      </c>
      <c r="B22" s="48">
        <f t="shared" si="0"/>
        <v>1</v>
      </c>
      <c r="C22" s="51">
        <f t="shared" si="2"/>
        <v>1</v>
      </c>
      <c r="D22" s="48" t="e">
        <f t="shared" si="3"/>
        <v>#DIV/0!</v>
      </c>
      <c r="E22" s="48" t="e">
        <f t="shared" si="4"/>
        <v>#DIV/0!</v>
      </c>
      <c r="F22" s="164">
        <v>0.45</v>
      </c>
      <c r="G22" s="23">
        <f>$F22*Headline!$J$13</f>
        <v>0</v>
      </c>
      <c r="H22" s="23">
        <f>Headline!$O$33</f>
        <v>0</v>
      </c>
      <c r="I22" s="46" t="str">
        <f>IF($H22&gt;=($G22*Headline!$O$32),"YES","NO")</f>
        <v>YES</v>
      </c>
      <c r="J22" s="23">
        <f t="shared" si="6"/>
        <v>0</v>
      </c>
      <c r="K22" s="27" t="e">
        <f>$J22/Headline!$J$32</f>
        <v>#DIV/0!</v>
      </c>
      <c r="L22" s="23">
        <f>(-PMT(Headline!$O$35/12,Headline!$J$35*12,'check share levels'!J22))</f>
        <v>0</v>
      </c>
      <c r="M22" s="23">
        <f>((Headline!$J$13-$G22)*Headline!$O$13)/12</f>
        <v>0</v>
      </c>
      <c r="N22" s="25">
        <f>Headline!$O$14/12</f>
        <v>0</v>
      </c>
      <c r="O22" s="25">
        <f t="shared" si="5"/>
        <v>0</v>
      </c>
      <c r="P22" s="26">
        <f>+IF(Headline!$J$24&gt;0,$O22/(((Headline!$J$32/12))),0)</f>
        <v>0</v>
      </c>
      <c r="R22" s="44"/>
    </row>
    <row r="23" spans="1:18" ht="12.75">
      <c r="A23" s="48" t="e">
        <f t="shared" si="1"/>
        <v>#DIV/0!</v>
      </c>
      <c r="B23" s="48">
        <f t="shared" si="0"/>
        <v>1</v>
      </c>
      <c r="C23" s="51">
        <f t="shared" si="2"/>
        <v>1</v>
      </c>
      <c r="D23" s="48" t="e">
        <f t="shared" si="3"/>
        <v>#DIV/0!</v>
      </c>
      <c r="E23" s="48" t="e">
        <f t="shared" si="4"/>
        <v>#DIV/0!</v>
      </c>
      <c r="F23" s="164">
        <v>0.46</v>
      </c>
      <c r="G23" s="23">
        <f>$F23*Headline!$J$13</f>
        <v>0</v>
      </c>
      <c r="H23" s="23">
        <f>Headline!$O$33</f>
        <v>0</v>
      </c>
      <c r="I23" s="46" t="str">
        <f>IF($H23&gt;=($G23*Headline!$O$32),"YES","NO")</f>
        <v>YES</v>
      </c>
      <c r="J23" s="23">
        <f t="shared" si="6"/>
        <v>0</v>
      </c>
      <c r="K23" s="27" t="e">
        <f>$J23/Headline!$J$32</f>
        <v>#DIV/0!</v>
      </c>
      <c r="L23" s="23">
        <f>(-PMT(Headline!$O$35/12,Headline!$J$35*12,'check share levels'!J23))</f>
        <v>0</v>
      </c>
      <c r="M23" s="23">
        <f>((Headline!$J$13-$G23)*Headline!$O$13)/12</f>
        <v>0</v>
      </c>
      <c r="N23" s="25">
        <f>Headline!$O$14/12</f>
        <v>0</v>
      </c>
      <c r="O23" s="25">
        <f t="shared" si="5"/>
        <v>0</v>
      </c>
      <c r="P23" s="26">
        <f>+IF(Headline!$J$24&gt;0,$O23/(((Headline!$J$32/12))),0)</f>
        <v>0</v>
      </c>
      <c r="R23" s="44"/>
    </row>
    <row r="24" spans="1:18" ht="12.75">
      <c r="A24" s="48" t="e">
        <f t="shared" si="1"/>
        <v>#DIV/0!</v>
      </c>
      <c r="B24" s="48">
        <f t="shared" si="0"/>
        <v>1</v>
      </c>
      <c r="C24" s="51">
        <f t="shared" si="2"/>
        <v>1</v>
      </c>
      <c r="D24" s="48" t="e">
        <f t="shared" si="3"/>
        <v>#DIV/0!</v>
      </c>
      <c r="E24" s="48" t="e">
        <f t="shared" si="4"/>
        <v>#DIV/0!</v>
      </c>
      <c r="F24" s="164">
        <v>0.47</v>
      </c>
      <c r="G24" s="23">
        <f>$F24*Headline!$J$13</f>
        <v>0</v>
      </c>
      <c r="H24" s="23">
        <f>Headline!$O$33</f>
        <v>0</v>
      </c>
      <c r="I24" s="46" t="str">
        <f>IF($H24&gt;=($G24*Headline!$O$32),"YES","NO")</f>
        <v>YES</v>
      </c>
      <c r="J24" s="23">
        <f t="shared" si="6"/>
        <v>0</v>
      </c>
      <c r="K24" s="27" t="e">
        <f>$J24/Headline!$J$32</f>
        <v>#DIV/0!</v>
      </c>
      <c r="L24" s="23">
        <f>(-PMT(Headline!$O$35/12,Headline!$J$35*12,'check share levels'!J24))</f>
        <v>0</v>
      </c>
      <c r="M24" s="23">
        <f>((Headline!$J$13-$G24)*Headline!$O$13)/12</f>
        <v>0</v>
      </c>
      <c r="N24" s="25">
        <f>Headline!$O$14/12</f>
        <v>0</v>
      </c>
      <c r="O24" s="25">
        <f t="shared" si="5"/>
        <v>0</v>
      </c>
      <c r="P24" s="26">
        <f>+IF(Headline!$J$24&gt;0,$O24/(((Headline!$J$32/12))),0)</f>
        <v>0</v>
      </c>
      <c r="R24" s="44"/>
    </row>
    <row r="25" spans="1:18" ht="12.75">
      <c r="A25" s="48" t="e">
        <f t="shared" si="1"/>
        <v>#DIV/0!</v>
      </c>
      <c r="B25" s="48">
        <f t="shared" si="0"/>
        <v>1</v>
      </c>
      <c r="C25" s="51">
        <f t="shared" si="2"/>
        <v>1</v>
      </c>
      <c r="D25" s="48" t="e">
        <f t="shared" si="3"/>
        <v>#DIV/0!</v>
      </c>
      <c r="E25" s="48" t="e">
        <f t="shared" si="4"/>
        <v>#DIV/0!</v>
      </c>
      <c r="F25" s="164">
        <v>0.48</v>
      </c>
      <c r="G25" s="23">
        <f>$F25*Headline!$J$13</f>
        <v>0</v>
      </c>
      <c r="H25" s="23">
        <f>Headline!$O$33</f>
        <v>0</v>
      </c>
      <c r="I25" s="46" t="str">
        <f>IF($H25&gt;=($G25*Headline!$O$32),"YES","NO")</f>
        <v>YES</v>
      </c>
      <c r="J25" s="23">
        <f t="shared" si="6"/>
        <v>0</v>
      </c>
      <c r="K25" s="27" t="e">
        <f>$J25/Headline!$J$32</f>
        <v>#DIV/0!</v>
      </c>
      <c r="L25" s="23">
        <f>(-PMT(Headline!$O$35/12,Headline!$J$35*12,'check share levels'!J25))</f>
        <v>0</v>
      </c>
      <c r="M25" s="23">
        <f>((Headline!$J$13-$G25)*Headline!$O$13)/12</f>
        <v>0</v>
      </c>
      <c r="N25" s="25">
        <f>Headline!$O$14/12</f>
        <v>0</v>
      </c>
      <c r="O25" s="25">
        <f t="shared" si="5"/>
        <v>0</v>
      </c>
      <c r="P25" s="26">
        <f>+IF(Headline!$J$24&gt;0,$O25/(((Headline!$J$32/12))),0)</f>
        <v>0</v>
      </c>
      <c r="R25" s="44"/>
    </row>
    <row r="26" spans="1:18" ht="12.75">
      <c r="A26" s="48" t="e">
        <f>IF($K26&gt;$R$1,2,1)</f>
        <v>#DIV/0!</v>
      </c>
      <c r="B26" s="48">
        <f t="shared" si="0"/>
        <v>1</v>
      </c>
      <c r="C26" s="51">
        <f t="shared" si="2"/>
        <v>1</v>
      </c>
      <c r="D26" s="48" t="e">
        <f t="shared" si="3"/>
        <v>#DIV/0!</v>
      </c>
      <c r="E26" s="48" t="e">
        <f t="shared" si="4"/>
        <v>#DIV/0!</v>
      </c>
      <c r="F26" s="164">
        <v>0.49</v>
      </c>
      <c r="G26" s="23">
        <f>$F26*Headline!$J$13</f>
        <v>0</v>
      </c>
      <c r="H26" s="23">
        <f>Headline!$O$33</f>
        <v>0</v>
      </c>
      <c r="I26" s="46" t="str">
        <f>IF($H26&gt;=($G26*Headline!$O$32),"YES","NO")</f>
        <v>YES</v>
      </c>
      <c r="J26" s="23">
        <f t="shared" si="6"/>
        <v>0</v>
      </c>
      <c r="K26" s="27" t="e">
        <f>$J26/Headline!$J$32</f>
        <v>#DIV/0!</v>
      </c>
      <c r="L26" s="23">
        <f>(-PMT(Headline!$O$35/12,Headline!$J$35*12,'check share levels'!J26))</f>
        <v>0</v>
      </c>
      <c r="M26" s="23">
        <f>((Headline!$J$13-$G26)*Headline!$O$13)/12</f>
        <v>0</v>
      </c>
      <c r="N26" s="25">
        <f>Headline!$O$14/12</f>
        <v>0</v>
      </c>
      <c r="O26" s="25">
        <f t="shared" si="5"/>
        <v>0</v>
      </c>
      <c r="P26" s="26">
        <f>+IF(Headline!$J$24&gt;0,$O26/(((Headline!$J$32/12))),0)</f>
        <v>0</v>
      </c>
      <c r="R26" s="44"/>
    </row>
    <row r="27" spans="1:18" ht="12.75">
      <c r="A27" s="48" t="e">
        <f t="shared" si="1"/>
        <v>#DIV/0!</v>
      </c>
      <c r="B27" s="48">
        <f t="shared" si="0"/>
        <v>1</v>
      </c>
      <c r="C27" s="51">
        <f t="shared" si="2"/>
        <v>1</v>
      </c>
      <c r="D27" s="48" t="e">
        <f t="shared" si="3"/>
        <v>#DIV/0!</v>
      </c>
      <c r="E27" s="48" t="e">
        <f t="shared" si="4"/>
        <v>#DIV/0!</v>
      </c>
      <c r="F27" s="164">
        <v>0.5</v>
      </c>
      <c r="G27" s="23">
        <f>$F27*Headline!$J$13</f>
        <v>0</v>
      </c>
      <c r="H27" s="23">
        <f>Headline!$O$33</f>
        <v>0</v>
      </c>
      <c r="I27" s="46" t="str">
        <f>IF($H27&gt;=($G27*Headline!$O$32),"YES","NO")</f>
        <v>YES</v>
      </c>
      <c r="J27" s="23">
        <f t="shared" si="6"/>
        <v>0</v>
      </c>
      <c r="K27" s="27" t="e">
        <f>$J27/Headline!$J$32</f>
        <v>#DIV/0!</v>
      </c>
      <c r="L27" s="23">
        <f>(-PMT(Headline!$O$35/12,Headline!$J$35*12,'check share levels'!J27))</f>
        <v>0</v>
      </c>
      <c r="M27" s="23">
        <f>((Headline!$J$13-$G27)*Headline!$O$13)/12</f>
        <v>0</v>
      </c>
      <c r="N27" s="25">
        <f>Headline!$O$14/12</f>
        <v>0</v>
      </c>
      <c r="O27" s="25">
        <f t="shared" si="5"/>
        <v>0</v>
      </c>
      <c r="P27" s="26">
        <f>+IF(Headline!$J$24&gt;0,$O27/(((Headline!$J$32/12))),0)</f>
        <v>0</v>
      </c>
      <c r="R27" s="44"/>
    </row>
    <row r="28" spans="1:18" ht="12.75">
      <c r="A28" s="48" t="e">
        <f t="shared" si="1"/>
        <v>#DIV/0!</v>
      </c>
      <c r="B28" s="48">
        <f t="shared" si="0"/>
        <v>1</v>
      </c>
      <c r="C28" s="51">
        <f t="shared" si="2"/>
        <v>1</v>
      </c>
      <c r="D28" s="48" t="e">
        <f t="shared" si="3"/>
        <v>#DIV/0!</v>
      </c>
      <c r="E28" s="48" t="e">
        <f t="shared" si="4"/>
        <v>#DIV/0!</v>
      </c>
      <c r="F28" s="164">
        <v>0.51</v>
      </c>
      <c r="G28" s="23">
        <f>$F28*Headline!$J$13</f>
        <v>0</v>
      </c>
      <c r="H28" s="23">
        <f>Headline!$O$33</f>
        <v>0</v>
      </c>
      <c r="I28" s="46" t="str">
        <f>IF($H28&gt;=($G28*Headline!$O$32),"YES","NO")</f>
        <v>YES</v>
      </c>
      <c r="J28" s="23">
        <f t="shared" si="6"/>
        <v>0</v>
      </c>
      <c r="K28" s="27" t="e">
        <f>$J28/Headline!$J$32</f>
        <v>#DIV/0!</v>
      </c>
      <c r="L28" s="23">
        <f>(-PMT(Headline!$O$35/12,Headline!$J$35*12,'check share levels'!J28))</f>
        <v>0</v>
      </c>
      <c r="M28" s="23">
        <f>((Headline!$J$13-$G28)*Headline!$O$13)/12</f>
        <v>0</v>
      </c>
      <c r="N28" s="25">
        <f>Headline!$O$14/12</f>
        <v>0</v>
      </c>
      <c r="O28" s="25">
        <f t="shared" si="5"/>
        <v>0</v>
      </c>
      <c r="P28" s="26">
        <f>+IF(Headline!$J$24&gt;0,$O28/(((Headline!$J$32/12))),0)</f>
        <v>0</v>
      </c>
      <c r="R28" s="44"/>
    </row>
    <row r="29" spans="1:18" ht="12.75">
      <c r="A29" s="48" t="e">
        <f t="shared" si="1"/>
        <v>#DIV/0!</v>
      </c>
      <c r="B29" s="48">
        <f t="shared" si="0"/>
        <v>1</v>
      </c>
      <c r="C29" s="51">
        <f t="shared" si="2"/>
        <v>1</v>
      </c>
      <c r="D29" s="48" t="e">
        <f t="shared" si="3"/>
        <v>#DIV/0!</v>
      </c>
      <c r="E29" s="48" t="e">
        <f t="shared" si="4"/>
        <v>#DIV/0!</v>
      </c>
      <c r="F29" s="164">
        <v>0.52</v>
      </c>
      <c r="G29" s="23">
        <f>$F29*Headline!$J$13</f>
        <v>0</v>
      </c>
      <c r="H29" s="23">
        <f>Headline!$O$33</f>
        <v>0</v>
      </c>
      <c r="I29" s="46" t="str">
        <f>IF($H29&gt;=($G29*Headline!$O$32),"YES","NO")</f>
        <v>YES</v>
      </c>
      <c r="J29" s="23">
        <f t="shared" si="6"/>
        <v>0</v>
      </c>
      <c r="K29" s="27" t="e">
        <f>$J29/Headline!$J$32</f>
        <v>#DIV/0!</v>
      </c>
      <c r="L29" s="23">
        <f>(-PMT(Headline!$O$35/12,Headline!$J$35*12,'check share levels'!J29))</f>
        <v>0</v>
      </c>
      <c r="M29" s="23">
        <f>((Headline!$J$13-$G29)*Headline!$O$13)/12</f>
        <v>0</v>
      </c>
      <c r="N29" s="25">
        <f>Headline!$O$14/12</f>
        <v>0</v>
      </c>
      <c r="O29" s="25">
        <f t="shared" si="5"/>
        <v>0</v>
      </c>
      <c r="P29" s="26">
        <f>+IF(Headline!$J$24&gt;0,$O29/(((Headline!$J$32/12))),0)</f>
        <v>0</v>
      </c>
      <c r="R29" s="44"/>
    </row>
    <row r="30" spans="1:18" ht="12.75">
      <c r="A30" s="48" t="e">
        <f t="shared" si="1"/>
        <v>#DIV/0!</v>
      </c>
      <c r="B30" s="48">
        <f t="shared" si="0"/>
        <v>1</v>
      </c>
      <c r="C30" s="51">
        <f t="shared" si="2"/>
        <v>1</v>
      </c>
      <c r="D30" s="48" t="e">
        <f t="shared" si="3"/>
        <v>#DIV/0!</v>
      </c>
      <c r="E30" s="48" t="e">
        <f t="shared" si="4"/>
        <v>#DIV/0!</v>
      </c>
      <c r="F30" s="164">
        <v>0.53</v>
      </c>
      <c r="G30" s="23">
        <f>$F30*Headline!$J$13</f>
        <v>0</v>
      </c>
      <c r="H30" s="23">
        <f>Headline!$O$33</f>
        <v>0</v>
      </c>
      <c r="I30" s="46" t="str">
        <f>IF($H30&gt;=($G30*Headline!$O$32),"YES","NO")</f>
        <v>YES</v>
      </c>
      <c r="J30" s="23">
        <f t="shared" si="6"/>
        <v>0</v>
      </c>
      <c r="K30" s="27" t="e">
        <f>$J30/Headline!$J$32</f>
        <v>#DIV/0!</v>
      </c>
      <c r="L30" s="23">
        <f>(-PMT(Headline!$O$35/12,Headline!$J$35*12,'check share levels'!J30))</f>
        <v>0</v>
      </c>
      <c r="M30" s="23">
        <f>((Headline!$J$13-$G30)*Headline!$O$13)/12</f>
        <v>0</v>
      </c>
      <c r="N30" s="25">
        <f>Headline!$O$14/12</f>
        <v>0</v>
      </c>
      <c r="O30" s="25">
        <f t="shared" si="5"/>
        <v>0</v>
      </c>
      <c r="P30" s="26">
        <f>+IF(Headline!$J$24&gt;0,$O30/(((Headline!$J$32/12))),0)</f>
        <v>0</v>
      </c>
      <c r="R30" s="44"/>
    </row>
    <row r="31" spans="1:18" ht="12.75">
      <c r="A31" s="48" t="e">
        <f t="shared" si="1"/>
        <v>#DIV/0!</v>
      </c>
      <c r="B31" s="48">
        <f t="shared" si="0"/>
        <v>1</v>
      </c>
      <c r="C31" s="51">
        <f t="shared" si="2"/>
        <v>1</v>
      </c>
      <c r="D31" s="48" t="e">
        <f t="shared" si="3"/>
        <v>#DIV/0!</v>
      </c>
      <c r="E31" s="48" t="e">
        <f t="shared" si="4"/>
        <v>#DIV/0!</v>
      </c>
      <c r="F31" s="164">
        <v>0.54</v>
      </c>
      <c r="G31" s="23">
        <f>$F31*Headline!$J$13</f>
        <v>0</v>
      </c>
      <c r="H31" s="23">
        <f>Headline!$O$33</f>
        <v>0</v>
      </c>
      <c r="I31" s="46" t="str">
        <f>IF($H31&gt;=($G31*Headline!$O$32),"YES","NO")</f>
        <v>YES</v>
      </c>
      <c r="J31" s="23">
        <f t="shared" si="6"/>
        <v>0</v>
      </c>
      <c r="K31" s="27" t="e">
        <f>$J31/Headline!$J$32</f>
        <v>#DIV/0!</v>
      </c>
      <c r="L31" s="23">
        <f>(-PMT(Headline!$O$35/12,Headline!$J$35*12,'check share levels'!J31))</f>
        <v>0</v>
      </c>
      <c r="M31" s="23">
        <f>((Headline!$J$13-$G31)*Headline!$O$13)/12</f>
        <v>0</v>
      </c>
      <c r="N31" s="25">
        <f>Headline!$O$14/12</f>
        <v>0</v>
      </c>
      <c r="O31" s="25">
        <f t="shared" si="5"/>
        <v>0</v>
      </c>
      <c r="P31" s="26">
        <f>+IF(Headline!$J$24&gt;0,$O31/(((Headline!$J$32/12))),0)</f>
        <v>0</v>
      </c>
      <c r="R31" s="44"/>
    </row>
    <row r="32" spans="1:18" ht="12.75">
      <c r="A32" s="48" t="e">
        <f t="shared" si="1"/>
        <v>#DIV/0!</v>
      </c>
      <c r="B32" s="48">
        <f t="shared" si="0"/>
        <v>1</v>
      </c>
      <c r="C32" s="51">
        <f t="shared" si="2"/>
        <v>1</v>
      </c>
      <c r="D32" s="48" t="e">
        <f t="shared" si="3"/>
        <v>#DIV/0!</v>
      </c>
      <c r="E32" s="48" t="e">
        <f t="shared" si="4"/>
        <v>#DIV/0!</v>
      </c>
      <c r="F32" s="164">
        <v>0.55</v>
      </c>
      <c r="G32" s="23">
        <f>$F32*Headline!$J$13</f>
        <v>0</v>
      </c>
      <c r="H32" s="23">
        <f>Headline!$O$33</f>
        <v>0</v>
      </c>
      <c r="I32" s="46" t="str">
        <f>IF($H32&gt;=($G32*Headline!$O$32),"YES","NO")</f>
        <v>YES</v>
      </c>
      <c r="J32" s="23">
        <f t="shared" si="6"/>
        <v>0</v>
      </c>
      <c r="K32" s="27" t="e">
        <f>$J32/Headline!$J$32</f>
        <v>#DIV/0!</v>
      </c>
      <c r="L32" s="23">
        <f>(-PMT(Headline!$O$35/12,Headline!$J$35*12,'check share levels'!J32))</f>
        <v>0</v>
      </c>
      <c r="M32" s="23">
        <f>((Headline!$J$13-$G32)*Headline!$O$13)/12</f>
        <v>0</v>
      </c>
      <c r="N32" s="25">
        <f>Headline!$O$14/12</f>
        <v>0</v>
      </c>
      <c r="O32" s="25">
        <f t="shared" si="5"/>
        <v>0</v>
      </c>
      <c r="P32" s="26">
        <f>+IF(Headline!$J$24&gt;0,$O32/(((Headline!$J$32/12))),0)</f>
        <v>0</v>
      </c>
      <c r="R32" s="44"/>
    </row>
    <row r="33" spans="1:18" ht="12.75">
      <c r="A33" s="48" t="e">
        <f t="shared" si="1"/>
        <v>#DIV/0!</v>
      </c>
      <c r="B33" s="48">
        <f t="shared" si="0"/>
        <v>1</v>
      </c>
      <c r="C33" s="51">
        <f t="shared" si="2"/>
        <v>1</v>
      </c>
      <c r="D33" s="48" t="e">
        <f t="shared" si="3"/>
        <v>#DIV/0!</v>
      </c>
      <c r="E33" s="48" t="e">
        <f t="shared" si="4"/>
        <v>#DIV/0!</v>
      </c>
      <c r="F33" s="164">
        <v>0.56</v>
      </c>
      <c r="G33" s="23">
        <f>$F33*Headline!$J$13</f>
        <v>0</v>
      </c>
      <c r="H33" s="23">
        <f>Headline!$O$33</f>
        <v>0</v>
      </c>
      <c r="I33" s="46" t="str">
        <f>IF($H33&gt;=($G33*Headline!$O$32),"YES","NO")</f>
        <v>YES</v>
      </c>
      <c r="J33" s="23">
        <f t="shared" si="6"/>
        <v>0</v>
      </c>
      <c r="K33" s="27" t="e">
        <f>$J33/Headline!$J$32</f>
        <v>#DIV/0!</v>
      </c>
      <c r="L33" s="23">
        <f>(-PMT(Headline!$O$35/12,Headline!$J$35*12,'check share levels'!J33))</f>
        <v>0</v>
      </c>
      <c r="M33" s="23">
        <f>((Headline!$J$13-$G33)*Headline!$O$13)/12</f>
        <v>0</v>
      </c>
      <c r="N33" s="25">
        <f>Headline!$O$14/12</f>
        <v>0</v>
      </c>
      <c r="O33" s="25">
        <f t="shared" si="5"/>
        <v>0</v>
      </c>
      <c r="P33" s="26">
        <f>+IF(Headline!$J$24&gt;0,$O33/(((Headline!$J$32/12))),0)</f>
        <v>0</v>
      </c>
      <c r="R33" s="44"/>
    </row>
    <row r="34" spans="1:18" ht="12.75">
      <c r="A34" s="48" t="e">
        <f t="shared" si="1"/>
        <v>#DIV/0!</v>
      </c>
      <c r="B34" s="48">
        <f t="shared" si="0"/>
        <v>1</v>
      </c>
      <c r="C34" s="51">
        <f t="shared" si="2"/>
        <v>1</v>
      </c>
      <c r="D34" s="48" t="e">
        <f t="shared" si="3"/>
        <v>#DIV/0!</v>
      </c>
      <c r="E34" s="48" t="e">
        <f t="shared" si="4"/>
        <v>#DIV/0!</v>
      </c>
      <c r="F34" s="164">
        <v>0.57</v>
      </c>
      <c r="G34" s="23">
        <f>$F34*Headline!$J$13</f>
        <v>0</v>
      </c>
      <c r="H34" s="23">
        <f>Headline!$O$33</f>
        <v>0</v>
      </c>
      <c r="I34" s="46" t="str">
        <f>IF($H34&gt;=($G34*Headline!$O$32),"YES","NO")</f>
        <v>YES</v>
      </c>
      <c r="J34" s="23">
        <f t="shared" si="6"/>
        <v>0</v>
      </c>
      <c r="K34" s="27" t="e">
        <f>$J34/Headline!$J$32</f>
        <v>#DIV/0!</v>
      </c>
      <c r="L34" s="23">
        <f>(-PMT(Headline!$O$35/12,Headline!$J$35*12,'check share levels'!J34))</f>
        <v>0</v>
      </c>
      <c r="M34" s="23">
        <f>((Headline!$J$13-$G34)*Headline!$O$13)/12</f>
        <v>0</v>
      </c>
      <c r="N34" s="25">
        <f>Headline!$O$14/12</f>
        <v>0</v>
      </c>
      <c r="O34" s="25">
        <f t="shared" si="5"/>
        <v>0</v>
      </c>
      <c r="P34" s="26">
        <f>+IF(Headline!$J$24&gt;0,$O34/(((Headline!$J$32/12))),0)</f>
        <v>0</v>
      </c>
      <c r="R34" s="44"/>
    </row>
    <row r="35" spans="1:18" ht="12.75">
      <c r="A35" s="48" t="e">
        <f t="shared" si="1"/>
        <v>#DIV/0!</v>
      </c>
      <c r="B35" s="48">
        <f t="shared" si="0"/>
        <v>1</v>
      </c>
      <c r="C35" s="51">
        <f t="shared" si="2"/>
        <v>1</v>
      </c>
      <c r="D35" s="48" t="e">
        <f t="shared" si="3"/>
        <v>#DIV/0!</v>
      </c>
      <c r="E35" s="48" t="e">
        <f t="shared" si="4"/>
        <v>#DIV/0!</v>
      </c>
      <c r="F35" s="164">
        <v>0.58</v>
      </c>
      <c r="G35" s="23">
        <f>$F35*Headline!$J$13</f>
        <v>0</v>
      </c>
      <c r="H35" s="23">
        <f>Headline!$O$33</f>
        <v>0</v>
      </c>
      <c r="I35" s="46" t="str">
        <f>IF($H35&gt;=($G35*Headline!$O$32),"YES","NO")</f>
        <v>YES</v>
      </c>
      <c r="J35" s="23">
        <f t="shared" si="6"/>
        <v>0</v>
      </c>
      <c r="K35" s="27" t="e">
        <f>$J35/Headline!$J$32</f>
        <v>#DIV/0!</v>
      </c>
      <c r="L35" s="23">
        <f>(-PMT(Headline!$O$35/12,Headline!$J$35*12,'check share levels'!J35))</f>
        <v>0</v>
      </c>
      <c r="M35" s="23">
        <f>((Headline!$J$13-$G35)*Headline!$O$13)/12</f>
        <v>0</v>
      </c>
      <c r="N35" s="25">
        <f>Headline!$O$14/12</f>
        <v>0</v>
      </c>
      <c r="O35" s="25">
        <f t="shared" si="5"/>
        <v>0</v>
      </c>
      <c r="P35" s="26">
        <f>+IF(Headline!$J$24&gt;0,$O35/(((Headline!$J$32/12))),0)</f>
        <v>0</v>
      </c>
      <c r="R35" s="44"/>
    </row>
    <row r="36" spans="1:18" ht="12.75">
      <c r="A36" s="48" t="e">
        <f t="shared" si="1"/>
        <v>#DIV/0!</v>
      </c>
      <c r="B36" s="48">
        <f t="shared" si="0"/>
        <v>1</v>
      </c>
      <c r="C36" s="51">
        <f t="shared" si="2"/>
        <v>1</v>
      </c>
      <c r="D36" s="48" t="e">
        <f t="shared" si="3"/>
        <v>#DIV/0!</v>
      </c>
      <c r="E36" s="48" t="e">
        <f t="shared" si="4"/>
        <v>#DIV/0!</v>
      </c>
      <c r="F36" s="164">
        <v>0.59</v>
      </c>
      <c r="G36" s="23">
        <f>$F36*Headline!$J$13</f>
        <v>0</v>
      </c>
      <c r="H36" s="23">
        <f>Headline!$O$33</f>
        <v>0</v>
      </c>
      <c r="I36" s="46" t="str">
        <f>IF($H36&gt;=($G36*Headline!$O$32),"YES","NO")</f>
        <v>YES</v>
      </c>
      <c r="J36" s="23">
        <f t="shared" si="6"/>
        <v>0</v>
      </c>
      <c r="K36" s="27" t="e">
        <f>$J36/Headline!$J$32</f>
        <v>#DIV/0!</v>
      </c>
      <c r="L36" s="23">
        <f>(-PMT(Headline!$O$35/12,Headline!$J$35*12,'check share levels'!J36))</f>
        <v>0</v>
      </c>
      <c r="M36" s="23">
        <f>((Headline!$J$13-$G36)*Headline!$O$13)/12</f>
        <v>0</v>
      </c>
      <c r="N36" s="25">
        <f>Headline!$O$14/12</f>
        <v>0</v>
      </c>
      <c r="O36" s="25">
        <f t="shared" si="5"/>
        <v>0</v>
      </c>
      <c r="P36" s="26">
        <f>+IF(Headline!$J$24&gt;0,$O36/(((Headline!$J$32/12))),0)</f>
        <v>0</v>
      </c>
      <c r="R36" s="44"/>
    </row>
    <row r="37" spans="1:18" ht="12.75">
      <c r="A37" s="48" t="e">
        <f t="shared" si="1"/>
        <v>#DIV/0!</v>
      </c>
      <c r="B37" s="48">
        <f t="shared" si="0"/>
        <v>1</v>
      </c>
      <c r="C37" s="51">
        <f t="shared" si="2"/>
        <v>1</v>
      </c>
      <c r="D37" s="48" t="e">
        <f t="shared" si="3"/>
        <v>#DIV/0!</v>
      </c>
      <c r="E37" s="48" t="e">
        <f t="shared" si="4"/>
        <v>#DIV/0!</v>
      </c>
      <c r="F37" s="164">
        <v>0.6</v>
      </c>
      <c r="G37" s="23">
        <f>$F37*Headline!$J$13</f>
        <v>0</v>
      </c>
      <c r="H37" s="23">
        <f>Headline!$O$33</f>
        <v>0</v>
      </c>
      <c r="I37" s="46" t="str">
        <f>IF($H37&gt;=($G37*Headline!$O$32),"YES","NO")</f>
        <v>YES</v>
      </c>
      <c r="J37" s="23">
        <f t="shared" si="6"/>
        <v>0</v>
      </c>
      <c r="K37" s="27" t="e">
        <f>$J37/Headline!$J$32</f>
        <v>#DIV/0!</v>
      </c>
      <c r="L37" s="23">
        <f>(-PMT(Headline!$O$35/12,Headline!$J$35*12,'check share levels'!J37))</f>
        <v>0</v>
      </c>
      <c r="M37" s="23">
        <f>((Headline!$J$13-$G37)*Headline!$O$13)/12</f>
        <v>0</v>
      </c>
      <c r="N37" s="25">
        <f>Headline!$O$14/12</f>
        <v>0</v>
      </c>
      <c r="O37" s="25">
        <f t="shared" si="5"/>
        <v>0</v>
      </c>
      <c r="P37" s="26">
        <f>+IF(Headline!$J$24&gt;0,$O37/(((Headline!$J$32/12))),0)</f>
        <v>0</v>
      </c>
      <c r="R37" s="44"/>
    </row>
    <row r="38" spans="1:18" ht="12.75">
      <c r="A38" s="48" t="e">
        <f t="shared" si="1"/>
        <v>#DIV/0!</v>
      </c>
      <c r="B38" s="48">
        <f t="shared" si="0"/>
        <v>1</v>
      </c>
      <c r="C38" s="51">
        <f t="shared" si="2"/>
        <v>1</v>
      </c>
      <c r="D38" s="48" t="e">
        <f t="shared" si="3"/>
        <v>#DIV/0!</v>
      </c>
      <c r="E38" s="48" t="e">
        <f t="shared" si="4"/>
        <v>#DIV/0!</v>
      </c>
      <c r="F38" s="164">
        <v>0.61</v>
      </c>
      <c r="G38" s="23">
        <f>$F38*Headline!$J$13</f>
        <v>0</v>
      </c>
      <c r="H38" s="23">
        <f>Headline!$O$33</f>
        <v>0</v>
      </c>
      <c r="I38" s="46" t="str">
        <f>IF($H38&gt;=($G38*Headline!$O$32),"YES","NO")</f>
        <v>YES</v>
      </c>
      <c r="J38" s="23">
        <f t="shared" si="6"/>
        <v>0</v>
      </c>
      <c r="K38" s="27" t="e">
        <f>$J38/Headline!$J$32</f>
        <v>#DIV/0!</v>
      </c>
      <c r="L38" s="23">
        <f>(-PMT(Headline!$O$35/12,Headline!$J$35*12,'check share levels'!J38))</f>
        <v>0</v>
      </c>
      <c r="M38" s="23">
        <f>((Headline!$J$13-$G38)*Headline!$O$13)/12</f>
        <v>0</v>
      </c>
      <c r="N38" s="25">
        <f>Headline!$O$14/12</f>
        <v>0</v>
      </c>
      <c r="O38" s="25">
        <f t="shared" si="5"/>
        <v>0</v>
      </c>
      <c r="P38" s="26">
        <f>+IF(Headline!$J$24&gt;0,$O38/(((Headline!$J$32/12))),0)</f>
        <v>0</v>
      </c>
      <c r="R38" s="44"/>
    </row>
    <row r="39" spans="1:18" ht="12.75">
      <c r="A39" s="48" t="e">
        <f t="shared" si="1"/>
        <v>#DIV/0!</v>
      </c>
      <c r="B39" s="48">
        <f t="shared" si="0"/>
        <v>1</v>
      </c>
      <c r="C39" s="51">
        <f t="shared" si="2"/>
        <v>1</v>
      </c>
      <c r="D39" s="48" t="e">
        <f t="shared" si="3"/>
        <v>#DIV/0!</v>
      </c>
      <c r="E39" s="48" t="e">
        <f t="shared" si="4"/>
        <v>#DIV/0!</v>
      </c>
      <c r="F39" s="164">
        <v>0.62</v>
      </c>
      <c r="G39" s="23">
        <f>$F39*Headline!$J$13</f>
        <v>0</v>
      </c>
      <c r="H39" s="23">
        <f>Headline!$O$33</f>
        <v>0</v>
      </c>
      <c r="I39" s="46" t="str">
        <f>IF($H39&gt;=($G39*Headline!$O$32),"YES","NO")</f>
        <v>YES</v>
      </c>
      <c r="J39" s="23">
        <f t="shared" si="6"/>
        <v>0</v>
      </c>
      <c r="K39" s="27" t="e">
        <f>$J39/Headline!$J$32</f>
        <v>#DIV/0!</v>
      </c>
      <c r="L39" s="23">
        <f>(-PMT(Headline!$O$35/12,Headline!$J$35*12,'check share levels'!J39))</f>
        <v>0</v>
      </c>
      <c r="M39" s="23">
        <f>((Headline!$J$13-$G39)*Headline!$O$13)/12</f>
        <v>0</v>
      </c>
      <c r="N39" s="25">
        <f>Headline!$O$14/12</f>
        <v>0</v>
      </c>
      <c r="O39" s="25">
        <f t="shared" si="5"/>
        <v>0</v>
      </c>
      <c r="P39" s="26">
        <f>+IF(Headline!$J$24&gt;0,$O39/(((Headline!$J$32/12))),0)</f>
        <v>0</v>
      </c>
      <c r="R39" s="44"/>
    </row>
    <row r="40" spans="1:18" ht="12.75">
      <c r="A40" s="48" t="e">
        <f t="shared" si="1"/>
        <v>#DIV/0!</v>
      </c>
      <c r="B40" s="48">
        <f t="shared" si="0"/>
        <v>1</v>
      </c>
      <c r="C40" s="51">
        <f t="shared" si="2"/>
        <v>1</v>
      </c>
      <c r="D40" s="48" t="e">
        <f t="shared" si="3"/>
        <v>#DIV/0!</v>
      </c>
      <c r="E40" s="48" t="e">
        <f t="shared" si="4"/>
        <v>#DIV/0!</v>
      </c>
      <c r="F40" s="164">
        <v>0.63</v>
      </c>
      <c r="G40" s="23">
        <f>$F40*Headline!$J$13</f>
        <v>0</v>
      </c>
      <c r="H40" s="23">
        <f>Headline!$O$33</f>
        <v>0</v>
      </c>
      <c r="I40" s="46" t="str">
        <f>IF($H40&gt;=($G40*Headline!$O$32),"YES","NO")</f>
        <v>YES</v>
      </c>
      <c r="J40" s="23">
        <f t="shared" si="6"/>
        <v>0</v>
      </c>
      <c r="K40" s="27" t="e">
        <f>$J40/Headline!$J$32</f>
        <v>#DIV/0!</v>
      </c>
      <c r="L40" s="23">
        <f>(-PMT(Headline!$O$35/12,Headline!$J$35*12,'check share levels'!J40))</f>
        <v>0</v>
      </c>
      <c r="M40" s="23">
        <f>((Headline!$J$13-$G40)*Headline!$O$13)/12</f>
        <v>0</v>
      </c>
      <c r="N40" s="25">
        <f>Headline!$O$14/12</f>
        <v>0</v>
      </c>
      <c r="O40" s="25">
        <f t="shared" si="5"/>
        <v>0</v>
      </c>
      <c r="P40" s="26">
        <f>+IF(Headline!$J$24&gt;0,$O40/(((Headline!$J$32/12))),0)</f>
        <v>0</v>
      </c>
      <c r="R40" s="44"/>
    </row>
    <row r="41" spans="1:18" ht="12.75">
      <c r="A41" s="48" t="e">
        <f t="shared" si="1"/>
        <v>#DIV/0!</v>
      </c>
      <c r="B41" s="48">
        <f t="shared" si="0"/>
        <v>1</v>
      </c>
      <c r="C41" s="51">
        <f t="shared" si="2"/>
        <v>1</v>
      </c>
      <c r="D41" s="48" t="e">
        <f t="shared" si="3"/>
        <v>#DIV/0!</v>
      </c>
      <c r="E41" s="48" t="e">
        <f t="shared" si="4"/>
        <v>#DIV/0!</v>
      </c>
      <c r="F41" s="164">
        <v>0.64</v>
      </c>
      <c r="G41" s="23">
        <f>$F41*Headline!$J$13</f>
        <v>0</v>
      </c>
      <c r="H41" s="23">
        <f>Headline!$O$33</f>
        <v>0</v>
      </c>
      <c r="I41" s="46" t="str">
        <f>IF($H41&gt;=($G41*Headline!$O$32),"YES","NO")</f>
        <v>YES</v>
      </c>
      <c r="J41" s="23">
        <f t="shared" si="6"/>
        <v>0</v>
      </c>
      <c r="K41" s="27" t="e">
        <f>$J41/Headline!$J$32</f>
        <v>#DIV/0!</v>
      </c>
      <c r="L41" s="23">
        <f>(-PMT(Headline!$O$35/12,Headline!$J$35*12,'check share levels'!J41))</f>
        <v>0</v>
      </c>
      <c r="M41" s="23">
        <f>((Headline!$J$13-$G41)*Headline!$O$13)/12</f>
        <v>0</v>
      </c>
      <c r="N41" s="25">
        <f>Headline!$O$14/12</f>
        <v>0</v>
      </c>
      <c r="O41" s="25">
        <f t="shared" si="5"/>
        <v>0</v>
      </c>
      <c r="P41" s="26">
        <f>+IF(Headline!$J$24&gt;0,$O41/(((Headline!$J$32/12))),0)</f>
        <v>0</v>
      </c>
      <c r="R41" s="44"/>
    </row>
    <row r="42" spans="1:18" ht="12.75">
      <c r="A42" s="48" t="e">
        <f t="shared" si="1"/>
        <v>#DIV/0!</v>
      </c>
      <c r="B42" s="48">
        <f t="shared" si="0"/>
        <v>1</v>
      </c>
      <c r="C42" s="51">
        <f t="shared" si="2"/>
        <v>1</v>
      </c>
      <c r="D42" s="48" t="e">
        <f t="shared" si="3"/>
        <v>#DIV/0!</v>
      </c>
      <c r="E42" s="48" t="e">
        <f t="shared" si="4"/>
        <v>#DIV/0!</v>
      </c>
      <c r="F42" s="164">
        <v>0.65</v>
      </c>
      <c r="G42" s="23">
        <f>$F42*Headline!$J$13</f>
        <v>0</v>
      </c>
      <c r="H42" s="23">
        <f>Headline!$O$33</f>
        <v>0</v>
      </c>
      <c r="I42" s="46" t="str">
        <f>IF($H42&gt;=($G42*Headline!$O$32),"YES","NO")</f>
        <v>YES</v>
      </c>
      <c r="J42" s="23">
        <f t="shared" si="6"/>
        <v>0</v>
      </c>
      <c r="K42" s="27" t="e">
        <f>$J42/Headline!$J$32</f>
        <v>#DIV/0!</v>
      </c>
      <c r="L42" s="23">
        <f>(-PMT(Headline!$O$35/12,Headline!$J$35*12,'check share levels'!J42))</f>
        <v>0</v>
      </c>
      <c r="M42" s="23">
        <f>((Headline!$J$13-$G42)*Headline!$O$13)/12</f>
        <v>0</v>
      </c>
      <c r="N42" s="25">
        <f>Headline!$O$14/12</f>
        <v>0</v>
      </c>
      <c r="O42" s="25">
        <f t="shared" si="5"/>
        <v>0</v>
      </c>
      <c r="P42" s="26">
        <f>+IF(Headline!$J$24&gt;0,$O42/(((Headline!$J$32/12))),0)</f>
        <v>0</v>
      </c>
      <c r="R42" s="44"/>
    </row>
    <row r="43" spans="1:18" ht="12.75">
      <c r="A43" s="48" t="e">
        <f t="shared" si="1"/>
        <v>#DIV/0!</v>
      </c>
      <c r="B43" s="48">
        <f t="shared" si="0"/>
        <v>1</v>
      </c>
      <c r="C43" s="51">
        <f t="shared" si="2"/>
        <v>1</v>
      </c>
      <c r="D43" s="48" t="e">
        <f t="shared" si="3"/>
        <v>#DIV/0!</v>
      </c>
      <c r="E43" s="48" t="e">
        <f t="shared" si="4"/>
        <v>#DIV/0!</v>
      </c>
      <c r="F43" s="164">
        <v>0.66</v>
      </c>
      <c r="G43" s="23">
        <f>$F43*Headline!$J$13</f>
        <v>0</v>
      </c>
      <c r="H43" s="23">
        <f>Headline!$O$33</f>
        <v>0</v>
      </c>
      <c r="I43" s="46" t="str">
        <f>IF($H43&gt;=($G43*Headline!$O$32),"YES","NO")</f>
        <v>YES</v>
      </c>
      <c r="J43" s="23">
        <f t="shared" si="6"/>
        <v>0</v>
      </c>
      <c r="K43" s="27" t="e">
        <f>$J43/Headline!$J$32</f>
        <v>#DIV/0!</v>
      </c>
      <c r="L43" s="23">
        <f>(-PMT(Headline!$O$35/12,Headline!$J$35*12,'check share levels'!J43))</f>
        <v>0</v>
      </c>
      <c r="M43" s="23">
        <f>((Headline!$J$13-$G43)*Headline!$O$13)/12</f>
        <v>0</v>
      </c>
      <c r="N43" s="25">
        <f>Headline!$O$14/12</f>
        <v>0</v>
      </c>
      <c r="O43" s="25">
        <f t="shared" si="5"/>
        <v>0</v>
      </c>
      <c r="P43" s="26">
        <f>+IF(Headline!$J$24&gt;0,$O43/(((Headline!$J$32/12))),0)</f>
        <v>0</v>
      </c>
      <c r="R43" s="44"/>
    </row>
    <row r="44" spans="1:18" ht="12.75">
      <c r="A44" s="48" t="e">
        <f t="shared" si="1"/>
        <v>#DIV/0!</v>
      </c>
      <c r="B44" s="48">
        <f t="shared" si="0"/>
        <v>1</v>
      </c>
      <c r="C44" s="51">
        <f t="shared" si="2"/>
        <v>1</v>
      </c>
      <c r="D44" s="48" t="e">
        <f t="shared" si="3"/>
        <v>#DIV/0!</v>
      </c>
      <c r="E44" s="48" t="e">
        <f t="shared" si="4"/>
        <v>#DIV/0!</v>
      </c>
      <c r="F44" s="164">
        <v>0.67</v>
      </c>
      <c r="G44" s="23">
        <f>$F44*Headline!$J$13</f>
        <v>0</v>
      </c>
      <c r="H44" s="23">
        <f>Headline!$O$33</f>
        <v>0</v>
      </c>
      <c r="I44" s="46" t="str">
        <f>IF($H44&gt;=($G44*Headline!$O$32),"YES","NO")</f>
        <v>YES</v>
      </c>
      <c r="J44" s="23">
        <f t="shared" si="6"/>
        <v>0</v>
      </c>
      <c r="K44" s="27" t="e">
        <f>$J44/Headline!$J$32</f>
        <v>#DIV/0!</v>
      </c>
      <c r="L44" s="23">
        <f>(-PMT(Headline!$O$35/12,Headline!$J$35*12,'check share levels'!J44))</f>
        <v>0</v>
      </c>
      <c r="M44" s="23">
        <f>((Headline!$J$13-$G44)*Headline!$O$13)/12</f>
        <v>0</v>
      </c>
      <c r="N44" s="25">
        <f>Headline!$O$14/12</f>
        <v>0</v>
      </c>
      <c r="O44" s="25">
        <f t="shared" si="5"/>
        <v>0</v>
      </c>
      <c r="P44" s="26">
        <f>+IF(Headline!$J$24&gt;0,$O44/(((Headline!$J$32/12))),0)</f>
        <v>0</v>
      </c>
      <c r="R44" s="44"/>
    </row>
    <row r="45" spans="1:18" ht="12.75">
      <c r="A45" s="48" t="e">
        <f t="shared" si="1"/>
        <v>#DIV/0!</v>
      </c>
      <c r="B45" s="48">
        <f t="shared" si="0"/>
        <v>1</v>
      </c>
      <c r="C45" s="51">
        <f t="shared" si="2"/>
        <v>1</v>
      </c>
      <c r="D45" s="48" t="e">
        <f t="shared" si="3"/>
        <v>#DIV/0!</v>
      </c>
      <c r="E45" s="48" t="e">
        <f t="shared" si="4"/>
        <v>#DIV/0!</v>
      </c>
      <c r="F45" s="164">
        <v>0.68</v>
      </c>
      <c r="G45" s="23">
        <f>$F45*Headline!$J$13</f>
        <v>0</v>
      </c>
      <c r="H45" s="23">
        <f>Headline!$O$33</f>
        <v>0</v>
      </c>
      <c r="I45" s="46" t="str">
        <f>IF($H45&gt;=($G45*Headline!$O$32),"YES","NO")</f>
        <v>YES</v>
      </c>
      <c r="J45" s="23">
        <f t="shared" si="6"/>
        <v>0</v>
      </c>
      <c r="K45" s="27" t="e">
        <f>$J45/Headline!$J$32</f>
        <v>#DIV/0!</v>
      </c>
      <c r="L45" s="23">
        <f>(-PMT(Headline!$O$35/12,Headline!$J$35*12,'check share levels'!J45))</f>
        <v>0</v>
      </c>
      <c r="M45" s="23">
        <f>((Headline!$J$13-$G45)*Headline!$O$13)/12</f>
        <v>0</v>
      </c>
      <c r="N45" s="25">
        <f>Headline!$O$14/12</f>
        <v>0</v>
      </c>
      <c r="O45" s="25">
        <f t="shared" si="5"/>
        <v>0</v>
      </c>
      <c r="P45" s="26">
        <f>+IF(Headline!$J$24&gt;0,$O45/(((Headline!$J$32/12))),0)</f>
        <v>0</v>
      </c>
      <c r="R45" s="44"/>
    </row>
    <row r="46" spans="1:18" ht="12.75">
      <c r="A46" s="48" t="e">
        <f t="shared" si="1"/>
        <v>#DIV/0!</v>
      </c>
      <c r="B46" s="48">
        <f t="shared" si="0"/>
        <v>1</v>
      </c>
      <c r="C46" s="51">
        <f t="shared" si="2"/>
        <v>1</v>
      </c>
      <c r="D46" s="48" t="e">
        <f t="shared" si="3"/>
        <v>#DIV/0!</v>
      </c>
      <c r="E46" s="48" t="e">
        <f t="shared" si="4"/>
        <v>#DIV/0!</v>
      </c>
      <c r="F46" s="164">
        <v>0.69</v>
      </c>
      <c r="G46" s="23">
        <f>$F46*Headline!$J$13</f>
        <v>0</v>
      </c>
      <c r="H46" s="23">
        <f>Headline!$O$33</f>
        <v>0</v>
      </c>
      <c r="I46" s="46" t="str">
        <f>IF($H46&gt;=($G46*Headline!$O$32),"YES","NO")</f>
        <v>YES</v>
      </c>
      <c r="J46" s="23">
        <f t="shared" si="6"/>
        <v>0</v>
      </c>
      <c r="K46" s="27" t="e">
        <f>$J46/Headline!$J$32</f>
        <v>#DIV/0!</v>
      </c>
      <c r="L46" s="23">
        <f>(-PMT(Headline!$O$35/12,Headline!$J$35*12,'check share levels'!J46))</f>
        <v>0</v>
      </c>
      <c r="M46" s="23">
        <f>((Headline!$J$13-$G46)*Headline!$O$13)/12</f>
        <v>0</v>
      </c>
      <c r="N46" s="25">
        <f>Headline!$O$14/12</f>
        <v>0</v>
      </c>
      <c r="O46" s="25">
        <f t="shared" si="5"/>
        <v>0</v>
      </c>
      <c r="P46" s="26">
        <f>+IF(Headline!$J$24&gt;0,$O46/(((Headline!$J$32/12))),0)</f>
        <v>0</v>
      </c>
      <c r="R46" s="44"/>
    </row>
    <row r="47" spans="1:18" ht="12.75">
      <c r="A47" s="48" t="e">
        <f t="shared" si="1"/>
        <v>#DIV/0!</v>
      </c>
      <c r="B47" s="48">
        <f t="shared" si="0"/>
        <v>1</v>
      </c>
      <c r="C47" s="51">
        <f t="shared" si="2"/>
        <v>1</v>
      </c>
      <c r="D47" s="48" t="e">
        <f t="shared" si="3"/>
        <v>#DIV/0!</v>
      </c>
      <c r="E47" s="48" t="e">
        <f t="shared" si="4"/>
        <v>#DIV/0!</v>
      </c>
      <c r="F47" s="164">
        <v>0.7</v>
      </c>
      <c r="G47" s="23">
        <f>$F47*Headline!$J$13</f>
        <v>0</v>
      </c>
      <c r="H47" s="23">
        <f>Headline!$O$33</f>
        <v>0</v>
      </c>
      <c r="I47" s="46" t="str">
        <f>IF($H47&gt;=($G47*Headline!$O$32),"YES","NO")</f>
        <v>YES</v>
      </c>
      <c r="J47" s="23">
        <f t="shared" si="6"/>
        <v>0</v>
      </c>
      <c r="K47" s="27" t="e">
        <f>$J47/Headline!$J$32</f>
        <v>#DIV/0!</v>
      </c>
      <c r="L47" s="23">
        <f>(-PMT(Headline!$O$35/12,Headline!$J$35*12,'check share levels'!J47))</f>
        <v>0</v>
      </c>
      <c r="M47" s="23">
        <f>((Headline!$J$13-$G47)*Headline!$O$13)/12</f>
        <v>0</v>
      </c>
      <c r="N47" s="25">
        <f>Headline!$O$14/12</f>
        <v>0</v>
      </c>
      <c r="O47" s="25">
        <f t="shared" si="5"/>
        <v>0</v>
      </c>
      <c r="P47" s="26">
        <f>+IF(Headline!$J$24&gt;0,$O47/(((Headline!$J$32/12))),0)</f>
        <v>0</v>
      </c>
      <c r="R47" s="44"/>
    </row>
    <row r="48" spans="1:18" ht="12.75">
      <c r="A48" s="48" t="e">
        <f t="shared" si="1"/>
        <v>#DIV/0!</v>
      </c>
      <c r="B48" s="48">
        <f t="shared" si="0"/>
        <v>1</v>
      </c>
      <c r="C48" s="51">
        <f t="shared" si="2"/>
        <v>1</v>
      </c>
      <c r="D48" s="48" t="e">
        <f t="shared" si="3"/>
        <v>#DIV/0!</v>
      </c>
      <c r="E48" s="48" t="e">
        <f t="shared" si="4"/>
        <v>#DIV/0!</v>
      </c>
      <c r="F48" s="164">
        <v>0.71</v>
      </c>
      <c r="G48" s="23">
        <f>$F48*Headline!$J$13</f>
        <v>0</v>
      </c>
      <c r="H48" s="23">
        <f>Headline!$O$33</f>
        <v>0</v>
      </c>
      <c r="I48" s="46" t="str">
        <f>IF($H48&gt;=($G48*Headline!$O$32),"YES","NO")</f>
        <v>YES</v>
      </c>
      <c r="J48" s="23">
        <f t="shared" si="6"/>
        <v>0</v>
      </c>
      <c r="K48" s="27" t="e">
        <f>$J48/Headline!$J$32</f>
        <v>#DIV/0!</v>
      </c>
      <c r="L48" s="23">
        <f>(-PMT(Headline!$O$35/12,Headline!$J$35*12,'check share levels'!J48))</f>
        <v>0</v>
      </c>
      <c r="M48" s="23">
        <f>((Headline!$J$13-$G48)*Headline!$O$13)/12</f>
        <v>0</v>
      </c>
      <c r="N48" s="25">
        <f>Headline!$O$14/12</f>
        <v>0</v>
      </c>
      <c r="O48" s="25">
        <f t="shared" si="5"/>
        <v>0</v>
      </c>
      <c r="P48" s="26">
        <f>+IF(Headline!$J$24&gt;0,$O48/(((Headline!$J$32/12))),0)</f>
        <v>0</v>
      </c>
      <c r="R48" s="44"/>
    </row>
    <row r="49" spans="1:18" ht="12.75">
      <c r="A49" s="48" t="e">
        <f t="shared" si="1"/>
        <v>#DIV/0!</v>
      </c>
      <c r="B49" s="48">
        <f t="shared" si="0"/>
        <v>1</v>
      </c>
      <c r="C49" s="51">
        <f t="shared" si="2"/>
        <v>1</v>
      </c>
      <c r="D49" s="48" t="e">
        <f t="shared" si="3"/>
        <v>#DIV/0!</v>
      </c>
      <c r="E49" s="48" t="e">
        <f t="shared" si="4"/>
        <v>#DIV/0!</v>
      </c>
      <c r="F49" s="164">
        <v>0.72</v>
      </c>
      <c r="G49" s="23">
        <f>$F49*Headline!$J$13</f>
        <v>0</v>
      </c>
      <c r="H49" s="23">
        <f>Headline!$O$33</f>
        <v>0</v>
      </c>
      <c r="I49" s="46" t="str">
        <f>IF($H49&gt;=($G49*Headline!$O$32),"YES","NO")</f>
        <v>YES</v>
      </c>
      <c r="J49" s="23">
        <f t="shared" si="6"/>
        <v>0</v>
      </c>
      <c r="K49" s="27" t="e">
        <f>$J49/Headline!$J$32</f>
        <v>#DIV/0!</v>
      </c>
      <c r="L49" s="23">
        <f>(-PMT(Headline!$O$35/12,Headline!$J$35*12,'check share levels'!J49))</f>
        <v>0</v>
      </c>
      <c r="M49" s="23">
        <f>((Headline!$J$13-$G49)*Headline!$O$13)/12</f>
        <v>0</v>
      </c>
      <c r="N49" s="25">
        <f>Headline!$O$14/12</f>
        <v>0</v>
      </c>
      <c r="O49" s="25">
        <f t="shared" si="5"/>
        <v>0</v>
      </c>
      <c r="P49" s="26">
        <f>+IF(Headline!$J$24&gt;0,$O49/(((Headline!$J$32/12))),0)</f>
        <v>0</v>
      </c>
      <c r="R49" s="44"/>
    </row>
    <row r="50" spans="1:18" ht="12.75">
      <c r="A50" s="48" t="e">
        <f t="shared" si="1"/>
        <v>#DIV/0!</v>
      </c>
      <c r="B50" s="48">
        <f t="shared" si="0"/>
        <v>1</v>
      </c>
      <c r="C50" s="51">
        <f t="shared" si="2"/>
        <v>1</v>
      </c>
      <c r="D50" s="48" t="e">
        <f t="shared" si="3"/>
        <v>#DIV/0!</v>
      </c>
      <c r="E50" s="48" t="e">
        <f t="shared" si="4"/>
        <v>#DIV/0!</v>
      </c>
      <c r="F50" s="164">
        <v>0.73</v>
      </c>
      <c r="G50" s="23">
        <f>$F50*Headline!$J$13</f>
        <v>0</v>
      </c>
      <c r="H50" s="23">
        <f>Headline!$O$33</f>
        <v>0</v>
      </c>
      <c r="I50" s="46" t="str">
        <f>IF($H50&gt;=($G50*Headline!$O$32),"YES","NO")</f>
        <v>YES</v>
      </c>
      <c r="J50" s="23">
        <f t="shared" si="6"/>
        <v>0</v>
      </c>
      <c r="K50" s="27" t="e">
        <f>$J50/Headline!$J$32</f>
        <v>#DIV/0!</v>
      </c>
      <c r="L50" s="23">
        <f>(-PMT(Headline!$O$35/12,Headline!$J$35*12,'check share levels'!J50))</f>
        <v>0</v>
      </c>
      <c r="M50" s="23">
        <f>((Headline!$J$13-$G50)*Headline!$O$13)/12</f>
        <v>0</v>
      </c>
      <c r="N50" s="25">
        <f>Headline!$O$14/12</f>
        <v>0</v>
      </c>
      <c r="O50" s="25">
        <f t="shared" si="5"/>
        <v>0</v>
      </c>
      <c r="P50" s="26">
        <f>+IF(Headline!$J$24&gt;0,$O50/(((Headline!$J$32/12))),0)</f>
        <v>0</v>
      </c>
      <c r="R50" s="44"/>
    </row>
    <row r="51" spans="1:18" ht="12.75">
      <c r="A51" s="48" t="e">
        <f t="shared" si="1"/>
        <v>#DIV/0!</v>
      </c>
      <c r="B51" s="48">
        <f t="shared" si="0"/>
        <v>1</v>
      </c>
      <c r="C51" s="51">
        <f t="shared" si="2"/>
        <v>1</v>
      </c>
      <c r="D51" s="48" t="e">
        <f t="shared" si="3"/>
        <v>#DIV/0!</v>
      </c>
      <c r="E51" s="48" t="e">
        <f t="shared" si="4"/>
        <v>#DIV/0!</v>
      </c>
      <c r="F51" s="164">
        <v>0.74</v>
      </c>
      <c r="G51" s="23">
        <f>$F51*Headline!$J$13</f>
        <v>0</v>
      </c>
      <c r="H51" s="23">
        <f>Headline!$O$33</f>
        <v>0</v>
      </c>
      <c r="I51" s="46" t="str">
        <f>IF($H51&gt;=($G51*Headline!$O$32),"YES","NO")</f>
        <v>YES</v>
      </c>
      <c r="J51" s="23">
        <f t="shared" si="6"/>
        <v>0</v>
      </c>
      <c r="K51" s="27" t="e">
        <f>$J51/Headline!$J$32</f>
        <v>#DIV/0!</v>
      </c>
      <c r="L51" s="23">
        <f>(-PMT(Headline!$O$35/12,Headline!$J$35*12,'check share levels'!J51))</f>
        <v>0</v>
      </c>
      <c r="M51" s="23">
        <f>((Headline!$J$13-$G51)*Headline!$O$13)/12</f>
        <v>0</v>
      </c>
      <c r="N51" s="25">
        <f>Headline!$O$14/12</f>
        <v>0</v>
      </c>
      <c r="O51" s="25">
        <f t="shared" si="5"/>
        <v>0</v>
      </c>
      <c r="P51" s="26">
        <f>+IF(Headline!$J$24&gt;0,$O51/(((Headline!$J$32/12))),0)</f>
        <v>0</v>
      </c>
      <c r="R51" s="44"/>
    </row>
    <row r="52" spans="1:18" ht="12.75">
      <c r="A52" s="48" t="e">
        <f t="shared" si="1"/>
        <v>#DIV/0!</v>
      </c>
      <c r="B52" s="48">
        <f t="shared" si="0"/>
        <v>1</v>
      </c>
      <c r="C52" s="51">
        <f t="shared" si="2"/>
        <v>1</v>
      </c>
      <c r="D52" s="48" t="e">
        <f t="shared" si="3"/>
        <v>#DIV/0!</v>
      </c>
      <c r="E52" s="48" t="e">
        <f t="shared" si="4"/>
        <v>#DIV/0!</v>
      </c>
      <c r="F52" s="164">
        <v>0.75</v>
      </c>
      <c r="G52" s="23">
        <f>$F52*Headline!$J$13</f>
        <v>0</v>
      </c>
      <c r="H52" s="23">
        <f>Headline!$O$33</f>
        <v>0</v>
      </c>
      <c r="I52" s="46" t="str">
        <f>IF($H52&gt;=($G52*Headline!$O$32),"YES","NO")</f>
        <v>YES</v>
      </c>
      <c r="J52" s="23">
        <f t="shared" si="6"/>
        <v>0</v>
      </c>
      <c r="K52" s="27" t="e">
        <f>$J52/Headline!$J$32</f>
        <v>#DIV/0!</v>
      </c>
      <c r="L52" s="23">
        <f>(-PMT(Headline!$O$35/12,Headline!$J$35*12,'check share levels'!J52))</f>
        <v>0</v>
      </c>
      <c r="M52" s="23">
        <f>((Headline!$J$13-$G52)*Headline!$O$13)/12</f>
        <v>0</v>
      </c>
      <c r="N52" s="25">
        <f>Headline!$O$14/12</f>
        <v>0</v>
      </c>
      <c r="O52" s="25">
        <f t="shared" si="5"/>
        <v>0</v>
      </c>
      <c r="P52" s="26">
        <f>+IF(Headline!$J$24&gt;0,$O52/(((Headline!$J$32/12))),0)</f>
        <v>0</v>
      </c>
      <c r="R52" s="44"/>
    </row>
    <row r="54" spans="1:16" s="44" customFormat="1" ht="12.75">
      <c r="A54" s="44" t="e">
        <f>LOOKUP(1,A2:A52,F2:F52)</f>
        <v>#N/A</v>
      </c>
      <c r="B54" s="44">
        <f>LOOKUP(1,B2:B52,F2:F52)</f>
        <v>0.75</v>
      </c>
      <c r="C54" s="44">
        <f>LOOKUP(1,C2:C52,F2:F52)</f>
        <v>0.75</v>
      </c>
      <c r="D54" s="44">
        <f>IF(ISERROR(D55),0,D55)</f>
        <v>0</v>
      </c>
      <c r="E54" s="44">
        <f>IF(ISERROR(E55),0,E55)</f>
        <v>0</v>
      </c>
      <c r="K54" s="21"/>
      <c r="L54" s="21"/>
      <c r="M54" s="21"/>
      <c r="P54" s="21"/>
    </row>
    <row r="55" spans="4:5" ht="12.75">
      <c r="D55" s="44" t="e">
        <f>LOOKUP(1,D2:D52,F2:F52)</f>
        <v>#N/A</v>
      </c>
      <c r="E55" s="44" t="e">
        <f>LOOKUP(1,E2:E52,F2:F52)</f>
        <v>#N/A</v>
      </c>
    </row>
    <row r="56" spans="1:5" ht="12.75">
      <c r="A56" s="48">
        <v>1</v>
      </c>
      <c r="B56" s="45" t="s">
        <v>61</v>
      </c>
      <c r="D56" s="44">
        <f>D54</f>
        <v>0</v>
      </c>
      <c r="E56" s="44">
        <f>E54</f>
        <v>0</v>
      </c>
    </row>
    <row r="57" spans="1:2" ht="12.75">
      <c r="A57" s="48">
        <v>2</v>
      </c>
      <c r="B57" s="45" t="s">
        <v>67</v>
      </c>
    </row>
    <row r="58" ht="12.75">
      <c r="F58" s="45"/>
    </row>
    <row r="60" spans="4:5" ht="12.75">
      <c r="D60" s="51"/>
      <c r="E60" s="51"/>
    </row>
  </sheetData>
  <sheetProtection selectLockedCells="1" selectUnlockedCells="1"/>
  <conditionalFormatting sqref="K2:K52">
    <cfRule type="cellIs" priority="1" dxfId="0" operator="greaterThan" stopIfTrue="1">
      <formula>$R$1</formula>
    </cfRule>
    <cfRule type="cellIs" priority="2" dxfId="2" operator="lessThanOrEqual" stopIfTrue="1">
      <formula>'check share levels'!#REF!</formula>
    </cfRule>
  </conditionalFormatting>
  <conditionalFormatting sqref="P2:P52">
    <cfRule type="cellIs" priority="3" dxfId="0" operator="greaterThan" stopIfTrue="1">
      <formula>0.45</formula>
    </cfRule>
    <cfRule type="cellIs" priority="4" dxfId="2" operator="lessThanOrEqual" stopIfTrue="1">
      <formula>0.45</formula>
    </cfRule>
  </conditionalFormatting>
  <conditionalFormatting sqref="I2:I52">
    <cfRule type="cellIs" priority="5" dxfId="1" operator="equal" stopIfTrue="1">
      <formula>"YES"</formula>
    </cfRule>
    <cfRule type="cellIs" priority="6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V45"/>
  <sheetViews>
    <sheetView zoomScalePageLayoutView="0" workbookViewId="0" topLeftCell="A1">
      <selection activeCell="K33" sqref="K33"/>
    </sheetView>
  </sheetViews>
  <sheetFormatPr defaultColWidth="9.140625" defaultRowHeight="12.75"/>
  <cols>
    <col min="1" max="1" width="9.140625" style="3" customWidth="1"/>
  </cols>
  <sheetData>
    <row r="1" spans="1:22" ht="15">
      <c r="A1" s="165" t="s">
        <v>77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4"/>
      <c r="N1" s="4"/>
      <c r="O1" s="4"/>
      <c r="P1" s="4"/>
      <c r="Q1" s="4"/>
      <c r="R1" s="4"/>
      <c r="S1" s="4"/>
      <c r="T1" s="4"/>
      <c r="U1" s="4"/>
      <c r="V1" s="5"/>
    </row>
    <row r="2" spans="1:22" ht="12.7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</row>
    <row r="3" spans="1:22" s="17" customFormat="1" ht="12.75">
      <c r="A3" s="6">
        <v>1</v>
      </c>
      <c r="B3" s="55" t="s">
        <v>19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6"/>
    </row>
    <row r="4" spans="1:22" s="17" customFormat="1" ht="12.75">
      <c r="A4" s="6">
        <v>2</v>
      </c>
      <c r="B4" s="55" t="s">
        <v>17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6"/>
    </row>
    <row r="5" spans="1:22" s="17" customFormat="1" ht="12.75">
      <c r="A5" s="6"/>
      <c r="B5" s="55"/>
      <c r="C5" s="55" t="s">
        <v>18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6"/>
    </row>
    <row r="6" spans="1:22" s="17" customFormat="1" ht="12.75">
      <c r="A6" s="6"/>
      <c r="B6" s="55"/>
      <c r="C6" s="55" t="s">
        <v>29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6"/>
    </row>
    <row r="7" spans="1:22" s="17" customFormat="1" ht="12.75">
      <c r="A7" s="6"/>
      <c r="B7" s="55"/>
      <c r="C7" s="55" t="s">
        <v>33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6"/>
    </row>
    <row r="8" spans="1:22" s="17" customFormat="1" ht="12.75">
      <c r="A8" s="6"/>
      <c r="B8" s="55"/>
      <c r="C8" s="55" t="s">
        <v>72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6"/>
    </row>
    <row r="9" spans="1:22" s="17" customFormat="1" ht="12.75">
      <c r="A9" s="6"/>
      <c r="B9" s="55"/>
      <c r="C9" s="55" t="s">
        <v>20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6"/>
    </row>
    <row r="10" spans="1:22" s="17" customFormat="1" ht="12.75">
      <c r="A10" s="6"/>
      <c r="B10" s="55"/>
      <c r="C10" s="55" t="s">
        <v>94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6"/>
    </row>
    <row r="11" spans="1:22" s="17" customFormat="1" ht="12.75">
      <c r="A11" s="6"/>
      <c r="B11" s="55"/>
      <c r="C11" s="55" t="s">
        <v>21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6"/>
    </row>
    <row r="12" spans="1:22" s="17" customFormat="1" ht="12.75">
      <c r="A12" s="6"/>
      <c r="B12" s="55"/>
      <c r="C12" s="55" t="s">
        <v>97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6"/>
    </row>
    <row r="13" spans="1:22" s="17" customFormat="1" ht="12.75">
      <c r="A13" s="6"/>
      <c r="B13" s="55"/>
      <c r="C13" s="55" t="s">
        <v>34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6"/>
    </row>
    <row r="14" spans="1:22" s="17" customFormat="1" ht="12.75">
      <c r="A14" s="6"/>
      <c r="B14" s="55"/>
      <c r="C14" s="55" t="s">
        <v>95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6"/>
    </row>
    <row r="15" spans="1:22" s="17" customFormat="1" ht="12.75">
      <c r="A15" s="6">
        <v>3</v>
      </c>
      <c r="B15" s="9" t="s">
        <v>73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6"/>
    </row>
    <row r="16" spans="1:22" s="17" customFormat="1" ht="12.75">
      <c r="A16" s="6"/>
      <c r="B16" s="55" t="s">
        <v>89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6"/>
    </row>
    <row r="17" spans="1:22" s="17" customFormat="1" ht="12.75">
      <c r="A17" s="6">
        <v>4</v>
      </c>
      <c r="B17" s="55" t="s">
        <v>78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6"/>
    </row>
    <row r="18" spans="1:22" s="17" customFormat="1" ht="12.75">
      <c r="A18" s="6"/>
      <c r="B18" s="55"/>
      <c r="C18" s="55" t="s">
        <v>74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6"/>
    </row>
    <row r="19" spans="1:22" s="17" customFormat="1" ht="12.75">
      <c r="A19" s="6"/>
      <c r="B19" s="55"/>
      <c r="C19" s="55" t="s">
        <v>90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6"/>
    </row>
    <row r="20" spans="1:22" s="17" customFormat="1" ht="12.75">
      <c r="A20" s="6"/>
      <c r="B20" s="55"/>
      <c r="C20" s="55" t="s">
        <v>96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6"/>
    </row>
    <row r="21" spans="1:22" s="17" customFormat="1" ht="12.75">
      <c r="A21" s="6">
        <v>5</v>
      </c>
      <c r="B21" s="55" t="s">
        <v>75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6"/>
    </row>
    <row r="22" spans="1:22" s="17" customFormat="1" ht="12.75">
      <c r="A22" s="6">
        <v>6</v>
      </c>
      <c r="B22" s="55" t="s">
        <v>76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6"/>
    </row>
    <row r="23" spans="1:22" s="17" customFormat="1" ht="12.75">
      <c r="A23" s="6">
        <v>7</v>
      </c>
      <c r="B23" s="55" t="s">
        <v>79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6"/>
    </row>
    <row r="24" spans="1:22" ht="12.7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8"/>
    </row>
    <row r="25" spans="1:22" ht="12.7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8"/>
    </row>
    <row r="26" spans="1:22" ht="12.7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8"/>
    </row>
    <row r="27" spans="1:22" ht="12.75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8"/>
    </row>
    <row r="28" spans="1:22" ht="12.75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8"/>
    </row>
    <row r="29" spans="1:22" ht="12.7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8"/>
    </row>
    <row r="30" spans="1:22" s="3" customFormat="1" ht="13.5">
      <c r="A30" s="16"/>
      <c r="B30" s="14"/>
      <c r="C30" s="15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10"/>
    </row>
    <row r="31" spans="1:22" s="3" customFormat="1" ht="13.5">
      <c r="A31" s="16"/>
      <c r="B31" s="14"/>
      <c r="C31" s="15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10"/>
    </row>
    <row r="32" spans="1:22" ht="12.75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8"/>
    </row>
    <row r="33" spans="1:22" ht="12.7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8"/>
    </row>
    <row r="34" spans="1:22" ht="12.7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8"/>
    </row>
    <row r="35" spans="1:22" ht="12.7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8"/>
    </row>
    <row r="36" spans="1:22" ht="12.75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8"/>
    </row>
    <row r="37" spans="1:22" ht="12.75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8"/>
    </row>
    <row r="38" spans="1:22" ht="12.75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8"/>
    </row>
    <row r="39" spans="1:22" ht="12.7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8"/>
    </row>
    <row r="40" spans="1:22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8"/>
    </row>
    <row r="41" spans="1:22" ht="12.75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8"/>
    </row>
    <row r="42" spans="1:22" ht="12.75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8"/>
    </row>
    <row r="43" spans="1:22" ht="12.75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8"/>
    </row>
    <row r="44" spans="1:22" ht="12.75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8"/>
    </row>
    <row r="45" spans="1:22" ht="12.75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 ADVICE FINANCIAL PLANNING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 Roper</dc:creator>
  <cp:keywords/>
  <dc:description/>
  <cp:lastModifiedBy>Jane Evans</cp:lastModifiedBy>
  <cp:lastPrinted>2010-11-16T11:27:09Z</cp:lastPrinted>
  <dcterms:created xsi:type="dcterms:W3CDTF">2008-04-04T09:45:40Z</dcterms:created>
  <dcterms:modified xsi:type="dcterms:W3CDTF">2016-01-26T10:33:37Z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da72b5f5-c3e4-4c47-96b7-d85e329b0dca</vt:lpwstr>
  </property>
  <property fmtid="{D5CDD505-2E9C-101B-9397-08002B2CF9AE}" pid="3" name="HCAGPMS">
    <vt:lpwstr>OFFICIAL</vt:lpwstr>
  </property>
</Properties>
</file>